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/Desktop/s54 wagon/Suspension and Corner Balance/"/>
    </mc:Choice>
  </mc:AlternateContent>
  <xr:revisionPtr revIDLastSave="0" documentId="13_ncr:1_{B702D53A-1D97-9546-B754-D550451BFBF3}" xr6:coauthVersionLast="47" xr6:coauthVersionMax="47" xr10:uidLastSave="{00000000-0000-0000-0000-000000000000}"/>
  <bookViews>
    <workbookView xWindow="0" yWindow="500" windowWidth="28800" windowHeight="17500" xr2:uid="{B93094E1-BA2D-0C45-9CAA-35A796EDB315}"/>
  </bookViews>
  <sheets>
    <sheet name="CG and Roll" sheetId="1" r:id="rId1"/>
    <sheet name="Roll Center Heights" sheetId="2" r:id="rId2"/>
  </sheets>
  <definedNames>
    <definedName name="cgm">'CG and Roll'!#REF!</definedName>
    <definedName name="m_1">'CG and Roll'!#REF!</definedName>
    <definedName name="m_2">'CG and Roll'!#REF!</definedName>
    <definedName name="x_1">'CG and Roll'!#REF!</definedName>
    <definedName name="xcm">'CG and Roll'!$C$17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3" i="1" l="1"/>
  <c r="C72" i="1"/>
  <c r="N71" i="1"/>
  <c r="I73" i="1"/>
  <c r="I72" i="1"/>
  <c r="I71" i="1"/>
  <c r="C71" i="1"/>
  <c r="O33" i="1"/>
  <c r="O21" i="1"/>
  <c r="O44" i="1"/>
  <c r="D69" i="1"/>
  <c r="C69" i="1"/>
  <c r="C34" i="1"/>
  <c r="O22" i="1"/>
  <c r="O25" i="1"/>
  <c r="O28" i="1"/>
  <c r="O29" i="1"/>
  <c r="O30" i="1"/>
  <c r="O31" i="1"/>
  <c r="O32" i="1"/>
  <c r="O23" i="1"/>
  <c r="O24" i="1"/>
  <c r="O26" i="1"/>
  <c r="O27" i="1"/>
  <c r="E11" i="1"/>
  <c r="E12" i="1"/>
  <c r="I13" i="1" s="1"/>
  <c r="E10" i="1"/>
  <c r="J11" i="1" s="1"/>
  <c r="E14" i="1"/>
  <c r="I11" i="1" s="1"/>
  <c r="E13" i="1"/>
  <c r="D6" i="1"/>
  <c r="C6" i="1"/>
  <c r="E44" i="1"/>
  <c r="F5" i="1"/>
  <c r="F4" i="1"/>
  <c r="C9" i="1"/>
  <c r="C37" i="1" s="1"/>
  <c r="E37" i="1" s="1"/>
  <c r="J10" i="1" l="1"/>
  <c r="E45" i="1"/>
  <c r="C38" i="1" s="1"/>
  <c r="C10" i="2" s="1"/>
  <c r="J12" i="1"/>
  <c r="I12" i="1"/>
  <c r="D72" i="1"/>
  <c r="D75" i="1" s="1"/>
  <c r="C74" i="1"/>
  <c r="D73" i="1"/>
  <c r="D76" i="1" s="1"/>
  <c r="D71" i="1"/>
  <c r="D74" i="1" s="1"/>
  <c r="I10" i="1"/>
  <c r="C75" i="1" s="1"/>
  <c r="J13" i="1"/>
  <c r="D44" i="1" s="1"/>
  <c r="C29" i="2" l="1"/>
  <c r="C9" i="2"/>
  <c r="C28" i="2"/>
  <c r="C31" i="2"/>
  <c r="C60" i="1"/>
  <c r="C64" i="1" s="1"/>
  <c r="E64" i="1" s="1"/>
  <c r="C32" i="2"/>
  <c r="D32" i="2" s="1"/>
  <c r="C8" i="2"/>
  <c r="C56" i="1"/>
  <c r="C57" i="1"/>
  <c r="C30" i="2"/>
  <c r="D30" i="2" s="1"/>
  <c r="C6" i="2"/>
  <c r="C33" i="2"/>
  <c r="D33" i="2" s="1"/>
  <c r="C7" i="2"/>
  <c r="D7" i="2" s="1"/>
  <c r="C39" i="1"/>
  <c r="C5" i="2"/>
  <c r="D45" i="1"/>
  <c r="C41" i="1" s="1"/>
  <c r="C45" i="1"/>
  <c r="O45" i="1" s="1"/>
  <c r="C44" i="1"/>
  <c r="C76" i="1"/>
  <c r="D28" i="2"/>
  <c r="D31" i="2"/>
  <c r="D5" i="2" l="1"/>
  <c r="D9" i="2"/>
  <c r="D6" i="2"/>
  <c r="C62" i="1"/>
  <c r="E62" i="1" s="1"/>
  <c r="C80" i="1" s="1"/>
  <c r="C84" i="1" s="1"/>
  <c r="C63" i="1"/>
  <c r="E63" i="1" s="1"/>
  <c r="C81" i="1" s="1"/>
  <c r="C85" i="1" s="1"/>
  <c r="D10" i="2"/>
  <c r="D29" i="2"/>
  <c r="D8" i="2"/>
  <c r="H39" i="1"/>
  <c r="H40" i="1"/>
  <c r="H38" i="1"/>
  <c r="C40" i="1"/>
  <c r="H37" i="1"/>
  <c r="E80" i="1"/>
  <c r="E84" i="1" s="1"/>
  <c r="F82" i="1"/>
  <c r="F86" i="1" s="1"/>
  <c r="C82" i="1"/>
  <c r="C86" i="1" s="1"/>
  <c r="E82" i="1"/>
  <c r="E86" i="1" s="1"/>
  <c r="D82" i="1"/>
  <c r="D86" i="1" s="1"/>
  <c r="D80" i="1" l="1"/>
  <c r="D84" i="1" s="1"/>
  <c r="F80" i="1"/>
  <c r="F84" i="1" s="1"/>
  <c r="D81" i="1"/>
  <c r="D85" i="1" s="1"/>
  <c r="F81" i="1"/>
  <c r="F85" i="1" s="1"/>
  <c r="E81" i="1"/>
  <c r="E85" i="1" s="1"/>
  <c r="D50" i="1"/>
  <c r="D49" i="1"/>
  <c r="C49" i="1"/>
  <c r="C50" i="1"/>
  <c r="F50" i="1" l="1"/>
  <c r="G50" i="1" s="1"/>
  <c r="F49" i="1"/>
  <c r="G49" i="1" s="1"/>
  <c r="C51" i="1"/>
  <c r="C52" i="1" s="1"/>
  <c r="D51" i="1"/>
  <c r="D52" i="1" s="1"/>
</calcChain>
</file>

<file path=xl/sharedStrings.xml><?xml version="1.0" encoding="utf-8"?>
<sst xmlns="http://schemas.openxmlformats.org/spreadsheetml/2006/main" count="201" uniqueCount="136">
  <si>
    <t>CG height</t>
  </si>
  <si>
    <t>in</t>
  </si>
  <si>
    <t>lb</t>
  </si>
  <si>
    <t>New CG weight</t>
  </si>
  <si>
    <t>New CG height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</si>
  <si>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</si>
  <si>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</si>
  <si>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</si>
  <si>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</si>
  <si>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</si>
  <si>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</si>
  <si>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</si>
  <si>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</si>
  <si>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</si>
  <si>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</si>
  <si>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</si>
  <si>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</si>
  <si>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</si>
  <si>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</si>
  <si>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</si>
  <si>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</si>
  <si>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</si>
  <si>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</si>
  <si>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</si>
  <si>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</si>
  <si>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</si>
  <si>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</si>
  <si>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</si>
  <si>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</si>
  <si>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</si>
  <si>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</si>
  <si>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</si>
  <si>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</si>
  <si>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</si>
  <si>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</si>
  <si>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</si>
  <si>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</si>
  <si>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</si>
  <si>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</si>
  <si>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</si>
  <si>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</si>
  <si>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</si>
  <si>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</si>
  <si>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</si>
  <si>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</si>
  <si>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</si>
  <si>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</si>
  <si>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</si>
  <si>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</si>
  <si>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</si>
  <si>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Muffler</t>
  </si>
  <si>
    <t>Battery</t>
  </si>
  <si>
    <t xml:space="preserve">front track outer </t>
  </si>
  <si>
    <t>rear track outer</t>
  </si>
  <si>
    <t>Donut spare</t>
  </si>
  <si>
    <t>Slon brace savings</t>
  </si>
  <si>
    <t>Trunk stuff</t>
  </si>
  <si>
    <t>Daily duty things</t>
  </si>
  <si>
    <t>lb driver</t>
  </si>
  <si>
    <t>w/o driver</t>
  </si>
  <si>
    <t>Roll center height</t>
  </si>
  <si>
    <t>Roll Couple Changes</t>
  </si>
  <si>
    <t>geometry here</t>
  </si>
  <si>
    <t>Cross bars (20) + bike racks (11+14) + rails (10)</t>
  </si>
  <si>
    <t>e36 M3 (48) -&gt; SS dual 2.5" (28)</t>
  </si>
  <si>
    <t>49lb OEM -&gt; 18.5lb antigravity</t>
  </si>
  <si>
    <t>CG-RC change</t>
  </si>
  <si>
    <t>Total roll change</t>
  </si>
  <si>
    <t>positive rolls more with same weight</t>
  </si>
  <si>
    <t>positirve rolls more with same cornering G (weight * distance from RC)</t>
  </si>
  <si>
    <t>Hitch</t>
  </si>
  <si>
    <t>Fuel</t>
  </si>
  <si>
    <t>V-brace</t>
  </si>
  <si>
    <t>Brace and brackets (5?)</t>
  </si>
  <si>
    <t>Vincebar</t>
  </si>
  <si>
    <t>Stealth epoxy</t>
  </si>
  <si>
    <t>BMW/Westfalia aluminum (10?)</t>
  </si>
  <si>
    <t>Half tank ~50lb. Baseline is full tank</t>
  </si>
  <si>
    <t>Hotchkis front bar</t>
  </si>
  <si>
    <t>e36 Washer tank</t>
  </si>
  <si>
    <t>M3 Washer tank</t>
  </si>
  <si>
    <t>Tank, pump, bracket</t>
  </si>
  <si>
    <t>Tank, pump</t>
  </si>
  <si>
    <t>Metal xi sway brackets, CSL rubbers</t>
  </si>
  <si>
    <t>Body Roll Calcs</t>
  </si>
  <si>
    <t>Roll stiffness</t>
  </si>
  <si>
    <t>lb-ft/deg</t>
  </si>
  <si>
    <t>Roll @ .8G</t>
  </si>
  <si>
    <t>Roll @ 1G</t>
  </si>
  <si>
    <t>deg</t>
  </si>
  <si>
    <t>Approx Suspension Travel</t>
  </si>
  <si>
    <t>Roll moment arm</t>
  </si>
  <si>
    <t>+ 1"</t>
  </si>
  <si>
    <t>+ .5"</t>
  </si>
  <si>
    <t>- .5"</t>
  </si>
  <si>
    <t>- 1"</t>
  </si>
  <si>
    <t>- 1.5"</t>
  </si>
  <si>
    <t>Front</t>
  </si>
  <si>
    <t>Rear</t>
  </si>
  <si>
    <t>Front Camber</t>
  </si>
  <si>
    <t>Front Track</t>
  </si>
  <si>
    <t>Roll Moment Change</t>
  </si>
  <si>
    <t>Roll Center Height (mm)</t>
  </si>
  <si>
    <t>Roll Moment Arm (in)</t>
  </si>
  <si>
    <t>Rear Camber</t>
  </si>
  <si>
    <t>Rear Track</t>
  </si>
  <si>
    <t>Height</t>
  </si>
  <si>
    <t>'Stock'</t>
  </si>
  <si>
    <t>@ 1G</t>
  </si>
  <si>
    <t>@ 1.2G</t>
  </si>
  <si>
    <t>Roll @ 1.2G</t>
  </si>
  <si>
    <t>Jacking</t>
  </si>
  <si>
    <t>Roll Center Height:</t>
  </si>
  <si>
    <t>Spring rate</t>
  </si>
  <si>
    <t>lb/in</t>
  </si>
  <si>
    <t>@ .8G</t>
  </si>
  <si>
    <t>Static Camber</t>
  </si>
  <si>
    <t>(ignores jacking)</t>
  </si>
  <si>
    <t>Travel @ .8G</t>
  </si>
  <si>
    <t>Travel @ 1G</t>
  </si>
  <si>
    <t>Travel @ 1.2G</t>
  </si>
  <si>
    <t>Camber @ .8G</t>
  </si>
  <si>
    <t>Camber @ 1G</t>
  </si>
  <si>
    <t>Camber @ 1.2G</t>
  </si>
  <si>
    <t>Front outer</t>
  </si>
  <si>
    <t>Rear outer</t>
  </si>
  <si>
    <t>Front inner</t>
  </si>
  <si>
    <t>Rear inner</t>
  </si>
  <si>
    <t>Travel &amp; Camber</t>
  </si>
  <si>
    <t>Camber Gain</t>
  </si>
  <si>
    <t>deg/in</t>
  </si>
  <si>
    <t>from 'Roll Center Heights' tab</t>
  </si>
  <si>
    <t>in, + is compression</t>
  </si>
  <si>
    <t>g</t>
  </si>
  <si>
    <t>F, sum of moments</t>
  </si>
  <si>
    <t>R, sum of moments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</si>
</sst>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2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/>
    <xf numFmtId="0" fontId="0" fillId="2" borderId="13" xfId="0" applyFill="1" applyBorder="1"/>
    <xf numFmtId="0" fontId="0" fillId="0" borderId="0" xfId="0" quotePrefix="1"/>
    <xf numFmtId="165" fontId="0" fillId="0" borderId="0" xfId="1" applyNumberFormat="1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4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0" fontId="0" fillId="3" borderId="1" xfId="0" applyFill="1" applyBorder="1"/>
    <xf numFmtId="166" fontId="0" fillId="3" borderId="10" xfId="0" applyNumberFormat="1" applyFill="1" applyBorder="1" applyAlignment="1">
      <alignment horizontal="center"/>
    </xf>
    <xf numFmtId="1" fontId="0" fillId="3" borderId="11" xfId="0" applyNumberFormat="1" applyFill="1" applyBorder="1" applyAlignment="1">
      <alignment horizontal="center"/>
    </xf>
    <xf numFmtId="2" fontId="0" fillId="3" borderId="9" xfId="0" applyNumberFormat="1" applyFill="1" applyBorder="1" applyAlignment="1">
      <alignment horizontal="center"/>
    </xf>
    <xf numFmtId="165" fontId="0" fillId="3" borderId="11" xfId="1" applyNumberFormat="1" applyFont="1" applyFill="1" applyBorder="1" applyAlignment="1">
      <alignment horizontal="center"/>
    </xf>
    <xf numFmtId="0" fontId="3" fillId="0" borderId="0" xfId="2"/>
    <xf numFmtId="165" fontId="0" fillId="0" borderId="0" xfId="0" applyNumberFormat="1" applyAlignment="1">
      <alignment horizontal="left"/>
    </xf>
    <xf numFmtId="165" fontId="0" fillId="3" borderId="10" xfId="1" applyNumberFormat="1" applyFont="1" applyFill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2" fontId="0" fillId="3" borderId="10" xfId="1" applyNumberFormat="1" applyFont="1" applyFill="1" applyBorder="1" applyAlignment="1">
      <alignment horizontal="center"/>
    </xf>
    <xf numFmtId="2" fontId="0" fillId="3" borderId="11" xfId="1" applyNumberFormat="1" applyFont="1" applyFill="1" applyBorder="1" applyAlignment="1">
      <alignment horizontal="center"/>
    </xf>
    <xf numFmtId="1" fontId="0" fillId="0" borderId="10" xfId="1" applyNumberFormat="1" applyFont="1" applyFill="1" applyBorder="1" applyAlignment="1">
      <alignment horizontal="center"/>
    </xf>
    <xf numFmtId="0" fontId="0" fillId="2" borderId="0" xfId="0" quotePrefix="1" applyFill="1"/>
    <xf numFmtId="0" fontId="0" fillId="2" borderId="12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66" fontId="0" fillId="3" borderId="6" xfId="0" applyNumberForma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4" xfId="0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of Car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'CG and Roll'!$H$10</c:f>
              <c:strCache>
                <c:ptCount val="1"/>
                <c:pt idx="0">
                  <c:v>FL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'CG and Roll'!$I$10</c:f>
              <c:numCache>
                <c:formatCode>0.00</c:formatCode>
                <c:ptCount val="1"/>
                <c:pt idx="0">
                  <c:v>29.88188976377953</c:v>
                </c:pt>
              </c:numCache>
            </c:numRef>
          </c:xVal>
          <c:yVal>
            <c:numRef>
              <c:f>'CG and Roll'!$J$10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0A4-F94E-A1C0-55ACE5AD2A44}"/>
            </c:ext>
          </c:extLst>
        </c:ser>
        <c:ser>
          <c:idx val="3"/>
          <c:order val="1"/>
          <c:tx>
            <c:strRef>
              <c:f>'CG and Roll'!$H$11</c:f>
              <c:strCache>
                <c:ptCount val="1"/>
                <c:pt idx="0">
                  <c:v>RL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'CG and Roll'!$I$11</c:f>
              <c:numCache>
                <c:formatCode>0.00</c:formatCode>
                <c:ptCount val="1"/>
                <c:pt idx="0">
                  <c:v>29.23228346456693</c:v>
                </c:pt>
              </c:numCache>
            </c:numRef>
          </c:xVal>
          <c:yVal>
            <c:numRef>
              <c:f>'CG and Roll'!$J$11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0A4-F94E-A1C0-55ACE5AD2A44}"/>
            </c:ext>
          </c:extLst>
        </c:ser>
        <c:ser>
          <c:idx val="1"/>
          <c:order val="2"/>
          <c:tx>
            <c:strRef>
              <c:f>'CG and Roll'!$H$12</c:f>
              <c:strCache>
                <c:ptCount val="1"/>
                <c:pt idx="0">
                  <c:v>FR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'CG and Roll'!$I$12</c:f>
              <c:numCache>
                <c:formatCode>0.00</c:formatCode>
                <c:ptCount val="1"/>
                <c:pt idx="0">
                  <c:v>-29.88188976377953</c:v>
                </c:pt>
              </c:numCache>
            </c:numRef>
          </c:xVal>
          <c:yVal>
            <c:numRef>
              <c:f>'CG and Roll'!$J$12</c:f>
              <c:numCache>
                <c:formatCode>0.00</c:formatCode>
                <c:ptCount val="1"/>
                <c:pt idx="0">
                  <c:v>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0A4-F94E-A1C0-55ACE5AD2A44}"/>
            </c:ext>
          </c:extLst>
        </c:ser>
        <c:ser>
          <c:idx val="2"/>
          <c:order val="3"/>
          <c:tx>
            <c:strRef>
              <c:f>'CG and Roll'!$H$13</c:f>
              <c:strCache>
                <c:ptCount val="1"/>
                <c:pt idx="0">
                  <c:v>RR wheel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30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'CG and Roll'!$I$13</c:f>
              <c:numCache>
                <c:formatCode>0.00</c:formatCode>
                <c:ptCount val="1"/>
                <c:pt idx="0">
                  <c:v>-29.23228346456693</c:v>
                </c:pt>
              </c:numCache>
            </c:numRef>
          </c:xVal>
          <c:yVal>
            <c:numRef>
              <c:f>'CG and Roll'!$J$13</c:f>
              <c:numCache>
                <c:formatCode>0.00</c:formatCode>
                <c:ptCount val="1"/>
                <c:pt idx="0">
                  <c:v>-53.759842519685044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0A4-F94E-A1C0-55ACE5AD2A44}"/>
            </c:ext>
          </c:extLst>
        </c:ser>
        <c:ser>
          <c:idx val="4"/>
          <c:order val="4"/>
          <c:tx>
            <c:strRef>
              <c:f>'CG and Roll'!$B$21</c:f>
              <c:strCache>
                <c:ptCount val="1"/>
                <c:pt idx="0">
                  <c:v>e36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5">
                  <a:alpha val="74864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'CG and Roll'!$O$21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Roll'!$E$21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0A4-F94E-A1C0-55ACE5AD2A44}"/>
            </c:ext>
          </c:extLst>
        </c:ser>
        <c:ser>
          <c:idx val="5"/>
          <c:order val="5"/>
          <c:tx>
            <c:strRef>
              <c:f>'CG and Roll'!$B$23</c:f>
              <c:strCache>
                <c:ptCount val="1"/>
                <c:pt idx="0">
                  <c:v>Roof Rack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6">
                  <a:alpha val="75000"/>
                </a:schemeClr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'CG and Roll'!$O$23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0A4-F94E-A1C0-55ACE5AD2A44}"/>
            </c:ext>
          </c:extLst>
        </c:ser>
        <c:ser>
          <c:idx val="6"/>
          <c:order val="6"/>
          <c:tx>
            <c:strRef>
              <c:f>'CG and Roll'!$B$24</c:f>
              <c:strCache>
                <c:ptCount val="1"/>
                <c:pt idx="0">
                  <c:v>Spare Tire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1">
                  <a:alpha val="75104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Roll'!$O$24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Roll'!$E$24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0A4-F94E-A1C0-55ACE5AD2A44}"/>
            </c:ext>
          </c:extLst>
        </c:ser>
        <c:ser>
          <c:idx val="17"/>
          <c:order val="7"/>
          <c:tx>
            <c:strRef>
              <c:f>'CG and Roll'!$B$25</c:f>
              <c:strCache>
                <c:ptCount val="1"/>
                <c:pt idx="0">
                  <c:v>Trunk stuff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Roll'!$O$25</c:f>
              <c:numCache>
                <c:formatCode>General</c:formatCode>
                <c:ptCount val="1"/>
                <c:pt idx="0">
                  <c:v>1</c:v>
                </c:pt>
              </c:numCache>
            </c:numRef>
          </c:xVal>
          <c:yVal>
            <c:numRef>
              <c:f>'CG and Roll'!$E$25</c:f>
              <c:numCache>
                <c:formatCode>General</c:formatCode>
                <c:ptCount val="1"/>
                <c:pt idx="0">
                  <c:v>-74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C40-CC46-98E0-D529C4C5D4E8}"/>
            </c:ext>
          </c:extLst>
        </c:ser>
        <c:ser>
          <c:idx val="7"/>
          <c:order val="8"/>
          <c:tx>
            <c:strRef>
              <c:f>'CG and Roll'!$B$26</c:f>
              <c:strCache>
                <c:ptCount val="1"/>
                <c:pt idx="0">
                  <c:v>Windsheild cowl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lumMod val="50000"/>
                  <a:alpha val="74976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Roll'!$O$26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Roll'!$E$26</c:f>
              <c:numCache>
                <c:formatCode>General</c:formatCode>
                <c:ptCount val="1"/>
                <c:pt idx="0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0A4-F94E-A1C0-55ACE5AD2A44}"/>
            </c:ext>
          </c:extLst>
        </c:ser>
        <c:ser>
          <c:idx val="8"/>
          <c:order val="9"/>
          <c:tx>
            <c:strRef>
              <c:f>'CG and Roll'!$B$27</c:f>
              <c:strCache>
                <c:ptCount val="1"/>
                <c:pt idx="0">
                  <c:v>Muffler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2">
                  <a:alpha val="75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Roll'!$O$27</c:f>
              <c:numCache>
                <c:formatCode>General</c:formatCode>
                <c:ptCount val="1"/>
                <c:pt idx="0">
                  <c:v>-22</c:v>
                </c:pt>
              </c:numCache>
            </c:numRef>
          </c:xVal>
          <c:yVal>
            <c:numRef>
              <c:f>'CG and Roll'!$E$27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0A4-F94E-A1C0-55ACE5AD2A44}"/>
            </c:ext>
          </c:extLst>
        </c:ser>
        <c:ser>
          <c:idx val="9"/>
          <c:order val="10"/>
          <c:tx>
            <c:strRef>
              <c:f>'CG and Roll'!$B$28</c:f>
              <c:strCache>
                <c:ptCount val="1"/>
                <c:pt idx="0">
                  <c:v>Battery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accent4">
                  <a:alpha val="74577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Roll'!$O$28</c:f>
              <c:numCache>
                <c:formatCode>General</c:formatCode>
                <c:ptCount val="1"/>
                <c:pt idx="0">
                  <c:v>24</c:v>
                </c:pt>
              </c:numCache>
            </c:numRef>
          </c:xVal>
          <c:yVal>
            <c:numRef>
              <c:f>'CG and Roll'!$E$28</c:f>
              <c:numCache>
                <c:formatCode>General</c:formatCode>
                <c:ptCount val="1"/>
                <c:pt idx="0">
                  <c:v>-76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0A4-F94E-A1C0-55ACE5AD2A44}"/>
            </c:ext>
          </c:extLst>
        </c:ser>
        <c:ser>
          <c:idx val="12"/>
          <c:order val="11"/>
          <c:tx>
            <c:strRef>
              <c:f>'CG and Roll'!$B$29</c:f>
              <c:strCache>
                <c:ptCount val="1"/>
                <c:pt idx="0">
                  <c:v>Hitch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0"/>
            <c:spPr>
              <a:solidFill>
                <a:schemeClr val="bg2">
                  <a:lumMod val="75000"/>
                  <a:alpha val="75000"/>
                </a:schemeClr>
              </a:solidFill>
              <a:ln w="9525">
                <a:solidFill>
                  <a:schemeClr val="bg2">
                    <a:lumMod val="75000"/>
                  </a:schemeClr>
                </a:solidFill>
              </a:ln>
              <a:effectLst/>
            </c:spPr>
          </c:marker>
          <c:xVal>
            <c:numRef>
              <c:f>'CG and Roll'!$O$29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Roll'!$E$29</c:f>
              <c:numCache>
                <c:formatCode>General</c:formatCode>
                <c:ptCount val="1"/>
                <c:pt idx="0">
                  <c:v>-90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40-CC46-98E0-D529C4C5D4E8}"/>
            </c:ext>
          </c:extLst>
        </c:ser>
        <c:ser>
          <c:idx val="13"/>
          <c:order val="12"/>
          <c:tx>
            <c:strRef>
              <c:f>'CG and Roll'!$B$30</c:f>
              <c:strCache>
                <c:ptCount val="1"/>
                <c:pt idx="0">
                  <c:v>V-brace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Roll'!$E$30</c:f>
              <c:numCache>
                <c:formatCode>General</c:formatCode>
                <c:ptCount val="1"/>
                <c:pt idx="0">
                  <c:v>-42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40-CC46-98E0-D529C4C5D4E8}"/>
            </c:ext>
          </c:extLst>
        </c:ser>
        <c:ser>
          <c:idx val="14"/>
          <c:order val="13"/>
          <c:tx>
            <c:strRef>
              <c:f>'CG and Roll'!$B$31</c:f>
              <c:strCache>
                <c:ptCount val="1"/>
                <c:pt idx="0">
                  <c:v>Vincebar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Roll'!$O$31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Roll'!$E$31</c:f>
              <c:numCache>
                <c:formatCode>General</c:formatCode>
                <c:ptCount val="1"/>
                <c:pt idx="0">
                  <c:v>-58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40-CC46-98E0-D529C4C5D4E8}"/>
            </c:ext>
          </c:extLst>
        </c:ser>
        <c:ser>
          <c:idx val="15"/>
          <c:order val="14"/>
          <c:tx>
            <c:strRef>
              <c:f>'CG and Roll'!$B$32</c:f>
              <c:strCache>
                <c:ptCount val="1"/>
                <c:pt idx="0">
                  <c:v>Hotchkis front bar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Roll'!$E$32</c:f>
              <c:numCache>
                <c:formatCode>General</c:formatCode>
                <c:ptCount val="1"/>
                <c:pt idx="0">
                  <c:v>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C40-CC46-98E0-D529C4C5D4E8}"/>
            </c:ext>
          </c:extLst>
        </c:ser>
        <c:ser>
          <c:idx val="16"/>
          <c:order val="15"/>
          <c:tx>
            <c:strRef>
              <c:f>'CG and Roll'!$B$33</c:f>
              <c:strCache>
                <c:ptCount val="1"/>
                <c:pt idx="0">
                  <c:v>Fuel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'CG and Roll'!$O$33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'CG and Roll'!$E$33</c:f>
              <c:numCache>
                <c:formatCode>General</c:formatCode>
                <c:ptCount val="1"/>
                <c:pt idx="0">
                  <c:v>-36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C40-CC46-98E0-D529C4C5D4E8}"/>
            </c:ext>
          </c:extLst>
        </c:ser>
        <c:ser>
          <c:idx val="10"/>
          <c:order val="16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20"/>
            <c:spPr>
              <a:noFill/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dPt>
            <c:idx val="0"/>
            <c:marker>
              <c:symbol val="x"/>
              <c:size val="20"/>
              <c:spPr>
                <a:noFill/>
                <a:ln w="9525">
                  <a:solidFill>
                    <a:schemeClr val="accent5">
                      <a:lumMod val="60000"/>
                    </a:schemeClr>
                  </a:solidFill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FA-904D-BF82-CBCABADB0209}"/>
              </c:ext>
            </c:extLst>
          </c:dPt>
          <c:xVal>
            <c:numRef>
              <c:f>'CG and Roll'!$O$45</c:f>
              <c:numCache>
                <c:formatCode>General</c:formatCode>
                <c:ptCount val="1"/>
                <c:pt idx="0">
                  <c:v>-0.63835601075748838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-0.72533897519178248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0A4-F94E-A1C0-55ACE5AD2A44}"/>
            </c:ext>
          </c:extLst>
        </c:ser>
        <c:ser>
          <c:idx val="11"/>
          <c:order val="17"/>
          <c:tx>
            <c:strRef>
              <c:f>'CG and Roll'!$B$45</c:f>
              <c:strCache>
                <c:ptCount val="1"/>
                <c:pt idx="0">
                  <c:v>X-Y center mass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28"/>
            <c:spPr>
              <a:solidFill>
                <a:schemeClr val="tx1">
                  <a:alpha val="10033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'CG and Roll'!$O$45</c:f>
              <c:numCache>
                <c:formatCode>General</c:formatCode>
                <c:ptCount val="1"/>
                <c:pt idx="0">
                  <c:v>-0.63835601075748838</c:v>
                </c:pt>
              </c:numCache>
            </c:numRef>
          </c:xVal>
          <c:yVal>
            <c:numRef>
              <c:f>'CG and Roll'!$D$45</c:f>
              <c:numCache>
                <c:formatCode>0.000</c:formatCode>
                <c:ptCount val="1"/>
                <c:pt idx="0">
                  <c:v>-0.72533897519178248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0A4-F94E-A1C0-55ACE5AD2A44}"/>
            </c:ext>
          </c:extLst>
        </c:ser>
        <c:ser>
          <c:idx val="18"/>
          <c:order val="18"/>
          <c:tx>
            <c:strRef>
              <c:f>'CG and Roll'!$B$22</c:f>
              <c:strCache>
                <c:ptCount val="1"/>
                <c:pt idx="0">
                  <c:v>M3 Washer tank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'CG and Roll'!$O$22</c:f>
              <c:numCache>
                <c:formatCode>General</c:formatCode>
                <c:ptCount val="1"/>
                <c:pt idx="0">
                  <c:v>26</c:v>
                </c:pt>
              </c:numCache>
            </c:numRef>
          </c:xVal>
          <c:yVal>
            <c:numRef>
              <c:f>'CG and Roll'!$E$22</c:f>
              <c:numCache>
                <c:formatCode>General</c:formatCode>
                <c:ptCount val="1"/>
                <c:pt idx="0">
                  <c:v>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3FA-904D-BF82-CBCABADB0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636960"/>
        <c:axId val="1436638608"/>
      </c:scatterChart>
      <c:valAx>
        <c:axId val="1436636960"/>
        <c:scaling>
          <c:orientation val="minMax"/>
        </c:scaling>
        <c:delete val="0"/>
        <c:axPos val="b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4769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8608"/>
        <c:crosses val="autoZero"/>
        <c:crossBetween val="midCat"/>
        <c:majorUnit val="12"/>
      </c:valAx>
      <c:valAx>
        <c:axId val="1436638608"/>
        <c:scaling>
          <c:orientation val="minMax"/>
          <c:max val="82"/>
          <c:min val="-94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  <a:alpha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6636960"/>
        <c:crosses val="autoZero"/>
        <c:crossBetween val="midCat"/>
        <c:majorUnit val="1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</a:t>
            </a:r>
            <a:r>
              <a:rPr lang="en-US" baseline="0"/>
              <a:t> and Roll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2"/>
          <c:order val="0"/>
          <c:tx>
            <c:strRef>
              <c:f>'Roll Center Heights'!$D$4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Heights'!$D$5:$D$10</c:f>
              <c:numCache>
                <c:formatCode>0%</c:formatCode>
                <c:ptCount val="6"/>
                <c:pt idx="0">
                  <c:v>-0.11687882883397793</c:v>
                </c:pt>
                <c:pt idx="1">
                  <c:v>-5.8901995533746088E-2</c:v>
                </c:pt>
                <c:pt idx="2">
                  <c:v>0</c:v>
                </c:pt>
                <c:pt idx="3">
                  <c:v>5.9991631053218697E-2</c:v>
                </c:pt>
                <c:pt idx="4">
                  <c:v>0.1212990483941021</c:v>
                </c:pt>
                <c:pt idx="5">
                  <c:v>0.18421008027307706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61-A74F-9BA2-68149A62F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786943"/>
        <c:axId val="355493535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355493535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5786943"/>
        <c:crosses val="max"/>
        <c:crossBetween val="between"/>
      </c:valAx>
      <c:catAx>
        <c:axId val="3557869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549353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Front Camber &amp;</a:t>
            </a:r>
            <a:r>
              <a:rPr lang="en-US" baseline="0"/>
              <a:t> Track </a:t>
            </a:r>
            <a:r>
              <a:rPr lang="en-US"/>
              <a:t>Changes with Ride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Heights'!$E$4</c:f>
              <c:strCache>
                <c:ptCount val="1"/>
                <c:pt idx="0">
                  <c:v>Front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Heights'!$E$5:$E$10</c:f>
              <c:numCache>
                <c:formatCode>General</c:formatCode>
                <c:ptCount val="6"/>
                <c:pt idx="0">
                  <c:v>-1.94</c:v>
                </c:pt>
                <c:pt idx="1">
                  <c:v>-2.23</c:v>
                </c:pt>
                <c:pt idx="2">
                  <c:v>-2.5</c:v>
                </c:pt>
                <c:pt idx="3">
                  <c:v>-2.74</c:v>
                </c:pt>
                <c:pt idx="4">
                  <c:v>-2.96</c:v>
                </c:pt>
                <c:pt idx="5">
                  <c:v>-3.14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12079"/>
        <c:axId val="1815469648"/>
      </c:lineChart>
      <c:lineChart>
        <c:grouping val="standard"/>
        <c:varyColors val="0"/>
        <c:ser>
          <c:idx val="4"/>
          <c:order val="1"/>
          <c:tx>
            <c:strRef>
              <c:f>'Roll Center Heights'!$F$4</c:f>
              <c:strCache>
                <c:ptCount val="1"/>
                <c:pt idx="0">
                  <c:v>Front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Heights'!$A$5:$A$10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Heights'!$F$5:$F$10</c:f>
              <c:numCache>
                <c:formatCode>General</c:formatCode>
                <c:ptCount val="6"/>
                <c:pt idx="0">
                  <c:v>1505.4</c:v>
                </c:pt>
                <c:pt idx="1">
                  <c:v>1508.1</c:v>
                </c:pt>
                <c:pt idx="2">
                  <c:v>1509.9</c:v>
                </c:pt>
                <c:pt idx="3">
                  <c:v>1510.7</c:v>
                </c:pt>
                <c:pt idx="4">
                  <c:v>1510.6</c:v>
                </c:pt>
                <c:pt idx="5">
                  <c:v>1509.4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CF-DF4E-B3E9-688A4157A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023408"/>
        <c:axId val="298643631"/>
      </c:lineChart>
      <c:catAx>
        <c:axId val="4012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5469648"/>
        <c:crosses val="autoZero"/>
        <c:auto val="1"/>
        <c:lblAlgn val="ctr"/>
        <c:lblOffset val="100"/>
        <c:noMultiLvlLbl val="0"/>
      </c:catAx>
      <c:valAx>
        <c:axId val="18154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2079"/>
        <c:crosses val="autoZero"/>
        <c:crossBetween val="between"/>
      </c:valAx>
      <c:valAx>
        <c:axId val="2986436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023408"/>
        <c:crosses val="max"/>
        <c:crossBetween val="between"/>
      </c:valAx>
      <c:catAx>
        <c:axId val="1833023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986436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Track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4"/>
          <c:order val="1"/>
          <c:tx>
            <c:strRef>
              <c:f>'Roll Center Heights'!$F$27</c:f>
              <c:strCache>
                <c:ptCount val="1"/>
                <c:pt idx="0">
                  <c:v>Rear Track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Heights'!$F$28:$F$33</c:f>
              <c:numCache>
                <c:formatCode>General</c:formatCode>
                <c:ptCount val="6"/>
                <c:pt idx="0">
                  <c:v>1473.5</c:v>
                </c:pt>
                <c:pt idx="1">
                  <c:v>1484.1</c:v>
                </c:pt>
                <c:pt idx="2">
                  <c:v>1494</c:v>
                </c:pt>
                <c:pt idx="3">
                  <c:v>1503.3</c:v>
                </c:pt>
                <c:pt idx="4">
                  <c:v>1512.1</c:v>
                </c:pt>
                <c:pt idx="5">
                  <c:v>1520.2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FF5-9F4E-9B8B-D8CAE9C3F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8378767"/>
        <c:axId val="263365007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26336500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378767"/>
        <c:crosses val="max"/>
        <c:crossBetween val="between"/>
      </c:valAx>
      <c:catAx>
        <c:axId val="43837876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3365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Rear Camber &amp; Roll Changes with Ride Height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1"/>
          <c:tx>
            <c:strRef>
              <c:f>'Roll Center Heights'!$E$27</c:f>
              <c:strCache>
                <c:ptCount val="1"/>
                <c:pt idx="0">
                  <c:v>Rear Camber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Heights'!$E$28:$E$33</c:f>
              <c:numCache>
                <c:formatCode>General</c:formatCode>
                <c:ptCount val="6"/>
                <c:pt idx="0">
                  <c:v>0.37</c:v>
                </c:pt>
                <c:pt idx="1">
                  <c:v>-0.52</c:v>
                </c:pt>
                <c:pt idx="2">
                  <c:v>-1.4</c:v>
                </c:pt>
                <c:pt idx="3">
                  <c:v>-2.2799999999999998</c:v>
                </c:pt>
                <c:pt idx="4">
                  <c:v>-3.15</c:v>
                </c:pt>
                <c:pt idx="5">
                  <c:v>-4.01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3743072"/>
        <c:axId val="268936975"/>
      </c:lineChart>
      <c:lineChart>
        <c:grouping val="standard"/>
        <c:varyColors val="0"/>
        <c:ser>
          <c:idx val="2"/>
          <c:order val="0"/>
          <c:tx>
            <c:strRef>
              <c:f>'Roll Center Heights'!$D$27</c:f>
              <c:strCache>
                <c:ptCount val="1"/>
                <c:pt idx="0">
                  <c:v>Roll Moment Change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'Roll Center Heights'!$A$28:$A$33</c:f>
              <c:strCache>
                <c:ptCount val="6"/>
                <c:pt idx="0">
                  <c:v>+ 1"</c:v>
                </c:pt>
                <c:pt idx="1">
                  <c:v>+ .5"</c:v>
                </c:pt>
                <c:pt idx="2">
                  <c:v>'Stock'</c:v>
                </c:pt>
                <c:pt idx="3">
                  <c:v>- .5"</c:v>
                </c:pt>
                <c:pt idx="4">
                  <c:v>- 1"</c:v>
                </c:pt>
                <c:pt idx="5">
                  <c:v>- 1.5"</c:v>
                </c:pt>
              </c:strCache>
            </c:strRef>
          </c:cat>
          <c:val>
            <c:numRef>
              <c:f>'Roll Center Heights'!$D$28:$D$33</c:f>
              <c:numCache>
                <c:formatCode>0%</c:formatCode>
                <c:ptCount val="6"/>
                <c:pt idx="0">
                  <c:v>-0.1340498225963821</c:v>
                </c:pt>
                <c:pt idx="1">
                  <c:v>-6.7024911298190992E-2</c:v>
                </c:pt>
                <c:pt idx="2">
                  <c:v>0</c:v>
                </c:pt>
                <c:pt idx="3">
                  <c:v>6.6197443257472788E-2</c:v>
                </c:pt>
                <c:pt idx="4">
                  <c:v>0.1319811524945862</c:v>
                </c:pt>
                <c:pt idx="5">
                  <c:v>0.1977648617316996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B1-9B41-AC0C-E03DAD5D2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869184"/>
        <c:axId val="1656261984"/>
      </c:lineChart>
      <c:catAx>
        <c:axId val="1833743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936975"/>
        <c:crosses val="autoZero"/>
        <c:auto val="1"/>
        <c:lblAlgn val="ctr"/>
        <c:lblOffset val="100"/>
        <c:noMultiLvlLbl val="0"/>
      </c:catAx>
      <c:valAx>
        <c:axId val="268936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743072"/>
        <c:crosses val="autoZero"/>
        <c:crossBetween val="between"/>
      </c:valAx>
      <c:valAx>
        <c:axId val="1656261984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2869184"/>
        <c:crosses val="max"/>
        <c:crossBetween val="between"/>
      </c:valAx>
      <c:catAx>
        <c:axId val="1642869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6261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2412999</xdr:colOff>
      <xdr:row>8</xdr:row>
      <xdr:rowOff>113808</xdr:rowOff>
    </xdr:from>
    <xdr:to>
      <xdr:col>6</xdr:col>
      <xdr:colOff>5486399</xdr:colOff>
      <xdr:row>42</xdr:row>
      <xdr:rowOff>88006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E4643D-B10B-034E-6816-7D1BA1E0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 t="44203" r="30400"/>
        <a:stretch/>
      </xdr:blipFill>
      <xdr:spPr>
        <a:xfrm rot="5400000">
          <a:off x="5099955" y="3713352"/>
          <a:ext cx="6945087" cy="3073400"/>
        </a:xfrm>
        <a:prstGeom prst="rect">
          <a:avLst/>
        </a:prstGeom>
      </xdr:spPr>
    </xdr:pic>
    <xdr:clientData/>
  </xdr:twoCellAnchor>
  <xdr:twoCellAnchor editAs="oneCell">
    <xdr:from>
      <xdr:col>6</xdr:col>
      <xdr:colOff>2306749</xdr:colOff>
      <xdr:row>0</xdr:row>
      <xdr:rowOff>50800</xdr:rowOff>
    </xdr:from>
    <xdr:to>
      <xdr:col>6</xdr:col>
      <xdr:colOff>5572236</xdr:colOff>
      <xdr:row>6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9549" y="50800"/>
          <a:ext cx="3265487" cy="1219200"/>
        </a:xfrm>
        <a:prstGeom prst="rect">
          <a:avLst/>
        </a:prstGeom>
      </xdr:spPr>
    </xdr:pic>
    <xdr:clientData/>
  </xdr:twoCellAnchor>
  <xdr:twoCellAnchor>
    <xdr:from>
      <xdr:col>6</xdr:col>
      <xdr:colOff>2286000</xdr:colOff>
      <xdr:row>6</xdr:row>
      <xdr:rowOff>165102</xdr:rowOff>
    </xdr:from>
    <xdr:to>
      <xdr:col>6</xdr:col>
      <xdr:colOff>5600700</xdr:colOff>
      <xdr:row>43</xdr:row>
      <xdr:rowOff>14111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5D46672-AA72-C3AE-9390-3739630589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730250</xdr:colOff>
      <xdr:row>0</xdr:row>
      <xdr:rowOff>44450</xdr:rowOff>
    </xdr:from>
    <xdr:to>
      <xdr:col>23</xdr:col>
      <xdr:colOff>596900</xdr:colOff>
      <xdr:row>24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975A3A-50F7-673B-7BA7-91D635D5BF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63500</xdr:colOff>
      <xdr:row>0</xdr:row>
      <xdr:rowOff>50800</xdr:rowOff>
    </xdr:from>
    <xdr:to>
      <xdr:col>14</xdr:col>
      <xdr:colOff>704850</xdr:colOff>
      <xdr:row>24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60B235-17F4-3244-BC3A-ACF749C78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50800</xdr:colOff>
      <xdr:row>25</xdr:row>
      <xdr:rowOff>63500</xdr:rowOff>
    </xdr:from>
    <xdr:to>
      <xdr:col>14</xdr:col>
      <xdr:colOff>698500</xdr:colOff>
      <xdr:row>49</xdr:row>
      <xdr:rowOff>63500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797715-3F46-42E1-5D76-A94BEF059E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749300</xdr:colOff>
      <xdr:row>25</xdr:row>
      <xdr:rowOff>50800</xdr:rowOff>
    </xdr:from>
    <xdr:to>
      <xdr:col>23</xdr:col>
      <xdr:colOff>571500</xdr:colOff>
      <xdr:row>49</xdr:row>
      <xdr:rowOff>50800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42CCC5-A564-2E47-B69A-F287A6DF5B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ad.onshape.com/documents/a12883b6aa3e6af61334151b/w/4cab4a13b8724a373c31eed5/e/323956f4725d9001c1313b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B1:O91"/>
  <sheetViews>
    <sheetView showGridLines="0" tabSelected="1" topLeftCell="A50" zoomScale="90" zoomScaleNormal="90" workbookViewId="0">
      <selection activeCell="C73" sqref="C73"/>
    </sheetView>
  </sheetViews>
  <sheetFormatPr baseColWidth="10" defaultColWidth="10.83203125" defaultRowHeight="16" x14ac:dyDescent="0.2"/>
  <cols>
    <col min="1" max="1" width="2.6640625" customWidth="1"/>
    <col min="2" max="2" width="16.6640625" customWidth="1"/>
    <col min="3" max="3" width="12.83203125" bestFit="1" customWidth="1"/>
    <col min="7" max="7" width="80.83203125" customWidth="1"/>
    <col min="12" max="13" width="0" hidden="1" customWidth="1"/>
    <col min="14" max="14" width="25.5" customWidth="1"/>
    <col min="15" max="15" width="10.83203125" customWidth="1"/>
  </cols>
  <sheetData>
    <row r="1" spans="2:11" ht="15.75" thickBot="1" x14ac:dyDescent="0.25">
      <c r="B1" s="57" t="s">
        <v>27</v>
      </c>
      <c r="C1" s="57"/>
      <c r="D1" s="57"/>
      <c r="E1" s="57"/>
      <c r="F1" s="57"/>
    </row>
    <row r="3" spans="2:11" ht="15.75" thickBot="1" x14ac:dyDescent="0.25">
      <c r="B3" s="56" t="s">
        <v>24</v>
      </c>
      <c r="C3" s="56"/>
      <c r="D3" s="56"/>
      <c r="E3" s="56"/>
      <c r="F3" s="56"/>
    </row>
    <row r="4" spans="2:11" ht="15" x14ac:dyDescent="0.2">
      <c r="B4" s="9" t="s">
        <v>7</v>
      </c>
      <c r="C4" s="14">
        <v>915</v>
      </c>
      <c r="D4" s="15">
        <v>901</v>
      </c>
      <c r="E4" s="9" t="s">
        <v>8</v>
      </c>
      <c r="F4" s="13">
        <f>SUM(C4:D4)/SUM(C4:D5)</f>
        <v>0.47714135575407252</v>
      </c>
    </row>
    <row r="5" spans="2:11" ht="15" x14ac:dyDescent="0.2">
      <c r="B5" s="9" t="s">
        <v>10</v>
      </c>
      <c r="C5" s="16">
        <v>1015</v>
      </c>
      <c r="D5" s="17">
        <v>975</v>
      </c>
      <c r="E5" s="9" t="s">
        <v>9</v>
      </c>
      <c r="F5" s="13">
        <f>SUM(C5:D5)/SUM(C4:D5)</f>
        <v>0.52285864424592743</v>
      </c>
    </row>
    <row r="6" spans="2:11" ht="15" x14ac:dyDescent="0.2">
      <c r="C6" s="13">
        <f>SUM(C4:C5)/SUM(C4:D5)</f>
        <v>0.50709406200735685</v>
      </c>
      <c r="D6" s="13">
        <f>SUM(D4:D5)/SUM(C4:D5)</f>
        <v>0.49290593799264321</v>
      </c>
      <c r="F6" s="3"/>
    </row>
    <row r="7" spans="2:11" ht="15" x14ac:dyDescent="0.2">
      <c r="F7" s="3"/>
    </row>
    <row r="8" spans="2:11" ht="15.75" thickBot="1" x14ac:dyDescent="0.25">
      <c r="B8" s="56" t="s">
        <v>26</v>
      </c>
      <c r="C8" s="56"/>
      <c r="D8" s="56"/>
      <c r="E8" s="56"/>
      <c r="F8" s="56"/>
      <c r="H8" s="56" t="s">
        <v>31</v>
      </c>
      <c r="I8" s="56"/>
      <c r="J8" s="56"/>
      <c r="K8" s="56"/>
    </row>
    <row r="9" spans="2:11" ht="15" x14ac:dyDescent="0.2">
      <c r="B9" s="9" t="s">
        <v>11</v>
      </c>
      <c r="C9" s="35">
        <f>SUM(C4:D5)</f>
        <v>3806</v>
      </c>
      <c r="D9" s="9" t="s">
        <v>2</v>
      </c>
      <c r="E9" s="51">
        <v>200</v>
      </c>
      <c r="F9" s="9" t="s">
        <v>58</v>
      </c>
      <c r="H9" s="9"/>
      <c r="I9" s="9" t="s">
        <v>15</v>
      </c>
      <c r="J9" s="9" t="s">
        <v>16</v>
      </c>
      <c r="K9" s="9"/>
    </row>
    <row r="10" spans="2:11" ht="15" x14ac:dyDescent="0.2">
      <c r="B10" s="9" t="s">
        <v>12</v>
      </c>
      <c r="C10" s="18">
        <v>2731</v>
      </c>
      <c r="D10" s="9" t="s">
        <v>21</v>
      </c>
      <c r="E10" s="44">
        <f>C10/25.4</f>
        <v>107.51968503937009</v>
      </c>
      <c r="F10" s="9" t="s">
        <v>1</v>
      </c>
      <c r="H10" s="9" t="s">
        <v>14</v>
      </c>
      <c r="I10" s="21">
        <f>E11/2-E13/2</f>
        <v>29.88188976377953</v>
      </c>
      <c r="J10" s="22">
        <f>E10/2</f>
        <v>53.759842519685044</v>
      </c>
      <c r="K10" s="9" t="s">
        <v>1</v>
      </c>
    </row>
    <row r="11" spans="2:11" ht="15" x14ac:dyDescent="0.2">
      <c r="B11" s="9" t="s">
        <v>52</v>
      </c>
      <c r="C11" s="18">
        <v>1763</v>
      </c>
      <c r="D11" s="9" t="s">
        <v>21</v>
      </c>
      <c r="E11" s="44">
        <f t="shared" ref="E11:E12" si="0">C11/25.4</f>
        <v>69.409448818897644</v>
      </c>
      <c r="F11" s="9" t="s">
        <v>1</v>
      </c>
      <c r="H11" s="9" t="s">
        <v>17</v>
      </c>
      <c r="I11" s="23">
        <f>E12/2-E14/2</f>
        <v>29.23228346456693</v>
      </c>
      <c r="J11" s="24">
        <f>-E10/2</f>
        <v>-53.759842519685044</v>
      </c>
      <c r="K11" s="9" t="s">
        <v>1</v>
      </c>
    </row>
    <row r="12" spans="2:11" ht="15" x14ac:dyDescent="0.2">
      <c r="B12" s="9" t="s">
        <v>53</v>
      </c>
      <c r="C12" s="18">
        <v>1730</v>
      </c>
      <c r="D12" s="9" t="s">
        <v>21</v>
      </c>
      <c r="E12" s="44">
        <f t="shared" si="0"/>
        <v>68.110236220472444</v>
      </c>
      <c r="F12" s="9" t="s">
        <v>1</v>
      </c>
      <c r="H12" s="9" t="s">
        <v>18</v>
      </c>
      <c r="I12" s="23">
        <f>-E11/2+E13/2</f>
        <v>-29.88188976377953</v>
      </c>
      <c r="J12" s="24">
        <f>E10/2</f>
        <v>53.759842519685044</v>
      </c>
      <c r="K12" s="9" t="s">
        <v>1</v>
      </c>
    </row>
    <row r="13" spans="2:11" ht="15" x14ac:dyDescent="0.2">
      <c r="B13" s="9" t="s">
        <v>19</v>
      </c>
      <c r="C13" s="18">
        <v>245</v>
      </c>
      <c r="D13" s="9" t="s">
        <v>21</v>
      </c>
      <c r="E13" s="44">
        <f>C13/25.4</f>
        <v>9.6456692913385833</v>
      </c>
      <c r="F13" s="9" t="s">
        <v>1</v>
      </c>
      <c r="H13" s="9" t="s">
        <v>33</v>
      </c>
      <c r="I13" s="25">
        <f>-E12/2+E14/2</f>
        <v>-29.23228346456693</v>
      </c>
      <c r="J13" s="26">
        <f>-E10/2</f>
        <v>-53.759842519685044</v>
      </c>
      <c r="K13" s="9" t="s">
        <v>1</v>
      </c>
    </row>
    <row r="14" spans="2:11" ht="15" x14ac:dyDescent="0.2">
      <c r="B14" s="9" t="s">
        <v>20</v>
      </c>
      <c r="C14" s="19">
        <v>245</v>
      </c>
      <c r="D14" s="9" t="s">
        <v>21</v>
      </c>
      <c r="E14" s="20">
        <f>C14/25.4</f>
        <v>9.6456692913385833</v>
      </c>
      <c r="F14" s="9" t="s">
        <v>1</v>
      </c>
    </row>
    <row r="16" spans="2:11" ht="15.75" thickBot="1" x14ac:dyDescent="0.25">
      <c r="B16" s="56" t="s">
        <v>25</v>
      </c>
      <c r="C16" s="56"/>
      <c r="D16" s="56"/>
      <c r="E16" s="56"/>
      <c r="F16" s="56"/>
    </row>
    <row r="17" spans="2:15" ht="15" x14ac:dyDescent="0.2">
      <c r="B17" s="9" t="s">
        <v>0</v>
      </c>
      <c r="C17" s="19">
        <v>21.25</v>
      </c>
      <c r="D17" s="9" t="s">
        <v>1</v>
      </c>
    </row>
    <row r="19" spans="2:15" ht="15.75" thickBot="1" x14ac:dyDescent="0.25">
      <c r="B19" s="57" t="s">
        <v>41</v>
      </c>
      <c r="C19" s="57"/>
      <c r="D19" s="57"/>
      <c r="E19" s="57"/>
      <c r="F19" s="57"/>
      <c r="G19" t="s">
        <v>13</v>
      </c>
    </row>
    <row r="20" spans="2:15" ht="15.75" thickBot="1" x14ac:dyDescent="0.25">
      <c r="B20" s="11" t="s">
        <v>22</v>
      </c>
      <c r="C20" s="34" t="s">
        <v>23</v>
      </c>
      <c r="D20" s="34" t="s">
        <v>42</v>
      </c>
      <c r="E20" s="34" t="s">
        <v>39</v>
      </c>
      <c r="F20" s="34" t="s">
        <v>40</v>
      </c>
    </row>
    <row r="21" spans="2:15" ht="15" x14ac:dyDescent="0.2">
      <c r="B21" s="4" t="s">
        <v>79</v>
      </c>
      <c r="C21">
        <v>-10</v>
      </c>
      <c r="D21">
        <v>-24</v>
      </c>
      <c r="E21">
        <v>42</v>
      </c>
      <c r="F21" s="5">
        <v>30</v>
      </c>
      <c r="G21" t="s">
        <v>81</v>
      </c>
      <c r="O21">
        <f>D21*-1</f>
        <v>24</v>
      </c>
    </row>
    <row r="22" spans="2:15" ht="15" x14ac:dyDescent="0.2">
      <c r="B22" s="4" t="s">
        <v>80</v>
      </c>
      <c r="C22">
        <v>10</v>
      </c>
      <c r="D22">
        <v>-26</v>
      </c>
      <c r="E22">
        <v>68</v>
      </c>
      <c r="F22" s="5">
        <v>12</v>
      </c>
      <c r="G22" t="s">
        <v>82</v>
      </c>
      <c r="O22">
        <f>D22*-1</f>
        <v>26</v>
      </c>
    </row>
    <row r="23" spans="2:15" ht="15" x14ac:dyDescent="0.2">
      <c r="B23" s="4" t="s">
        <v>47</v>
      </c>
      <c r="C23">
        <v>-50</v>
      </c>
      <c r="D23">
        <v>0</v>
      </c>
      <c r="E23">
        <v>-36</v>
      </c>
      <c r="F23" s="5">
        <v>62</v>
      </c>
      <c r="G23" t="s">
        <v>63</v>
      </c>
      <c r="O23">
        <f t="shared" ref="O23:O32" si="1">D23*-1</f>
        <v>0</v>
      </c>
    </row>
    <row r="24" spans="2:15" ht="15" x14ac:dyDescent="0.2">
      <c r="B24" s="4" t="s">
        <v>48</v>
      </c>
      <c r="C24">
        <v>-26</v>
      </c>
      <c r="D24">
        <v>-1</v>
      </c>
      <c r="E24">
        <v>-74</v>
      </c>
      <c r="F24" s="5">
        <v>12.5</v>
      </c>
      <c r="G24" t="s">
        <v>54</v>
      </c>
      <c r="O24">
        <f t="shared" si="1"/>
        <v>1</v>
      </c>
    </row>
    <row r="25" spans="2:15" ht="15" x14ac:dyDescent="0.2">
      <c r="B25" s="4" t="s">
        <v>56</v>
      </c>
      <c r="C25">
        <v>-17</v>
      </c>
      <c r="D25">
        <v>-1</v>
      </c>
      <c r="E25">
        <v>-74</v>
      </c>
      <c r="F25" s="5">
        <v>20</v>
      </c>
      <c r="G25" t="s">
        <v>57</v>
      </c>
      <c r="O25">
        <f t="shared" si="1"/>
        <v>1</v>
      </c>
    </row>
    <row r="26" spans="2:15" ht="15" x14ac:dyDescent="0.2">
      <c r="B26" s="4" t="s">
        <v>49</v>
      </c>
      <c r="C26">
        <v>-6</v>
      </c>
      <c r="D26">
        <v>0</v>
      </c>
      <c r="E26">
        <v>42</v>
      </c>
      <c r="F26" s="5">
        <v>30</v>
      </c>
      <c r="G26" t="s">
        <v>55</v>
      </c>
      <c r="O26">
        <f t="shared" si="1"/>
        <v>0</v>
      </c>
    </row>
    <row r="27" spans="2:15" ht="15" x14ac:dyDescent="0.2">
      <c r="B27" s="4" t="s">
        <v>50</v>
      </c>
      <c r="D27">
        <v>22</v>
      </c>
      <c r="E27">
        <v>-76</v>
      </c>
      <c r="F27" s="5">
        <v>16</v>
      </c>
      <c r="G27" t="s">
        <v>64</v>
      </c>
      <c r="O27">
        <f t="shared" si="1"/>
        <v>-22</v>
      </c>
    </row>
    <row r="28" spans="2:15" ht="15" x14ac:dyDescent="0.2">
      <c r="B28" s="4" t="s">
        <v>51</v>
      </c>
      <c r="C28">
        <v>-30</v>
      </c>
      <c r="D28">
        <v>-24</v>
      </c>
      <c r="E28">
        <v>-76</v>
      </c>
      <c r="F28" s="5">
        <v>20</v>
      </c>
      <c r="G28" t="s">
        <v>65</v>
      </c>
      <c r="O28">
        <f t="shared" si="1"/>
        <v>24</v>
      </c>
    </row>
    <row r="29" spans="2:15" ht="15" x14ac:dyDescent="0.2">
      <c r="B29" s="4" t="s">
        <v>70</v>
      </c>
      <c r="C29">
        <v>18</v>
      </c>
      <c r="D29">
        <v>0</v>
      </c>
      <c r="E29">
        <v>-90</v>
      </c>
      <c r="F29" s="5">
        <v>20</v>
      </c>
      <c r="G29" t="s">
        <v>76</v>
      </c>
      <c r="O29">
        <f t="shared" si="1"/>
        <v>0</v>
      </c>
    </row>
    <row r="30" spans="2:15" ht="15" x14ac:dyDescent="0.2">
      <c r="B30" s="4" t="s">
        <v>72</v>
      </c>
      <c r="C30">
        <v>5</v>
      </c>
      <c r="D30">
        <v>0</v>
      </c>
      <c r="E30">
        <v>-42</v>
      </c>
      <c r="F30" s="5">
        <v>6</v>
      </c>
      <c r="G30" t="s">
        <v>73</v>
      </c>
      <c r="O30">
        <f t="shared" si="1"/>
        <v>0</v>
      </c>
    </row>
    <row r="31" spans="2:15" ht="15" x14ac:dyDescent="0.2">
      <c r="B31" s="4" t="s">
        <v>74</v>
      </c>
      <c r="C31">
        <v>5</v>
      </c>
      <c r="D31">
        <v>0</v>
      </c>
      <c r="E31">
        <v>-58</v>
      </c>
      <c r="F31" s="5">
        <v>22</v>
      </c>
      <c r="G31" t="s">
        <v>75</v>
      </c>
      <c r="O31">
        <f t="shared" si="1"/>
        <v>0</v>
      </c>
    </row>
    <row r="32" spans="2:15" ht="15" x14ac:dyDescent="0.2">
      <c r="B32" s="4" t="s">
        <v>78</v>
      </c>
      <c r="C32">
        <v>-4</v>
      </c>
      <c r="D32">
        <v>0</v>
      </c>
      <c r="E32">
        <v>61</v>
      </c>
      <c r="F32" s="5">
        <v>10</v>
      </c>
      <c r="G32" t="s">
        <v>83</v>
      </c>
      <c r="O32">
        <f t="shared" si="1"/>
        <v>0</v>
      </c>
    </row>
    <row r="33" spans="2:15" ht="15" x14ac:dyDescent="0.2">
      <c r="B33" s="6" t="s">
        <v>71</v>
      </c>
      <c r="C33" s="7">
        <v>-50</v>
      </c>
      <c r="D33" s="7">
        <v>0</v>
      </c>
      <c r="E33" s="7">
        <v>-36</v>
      </c>
      <c r="F33" s="8">
        <v>20</v>
      </c>
      <c r="G33" t="s">
        <v>77</v>
      </c>
      <c r="O33">
        <f>D33*-1</f>
        <v>0</v>
      </c>
    </row>
    <row r="34" spans="2:15" ht="15" x14ac:dyDescent="0.2">
      <c r="C34" s="43">
        <f>SUM(C21:C33)</f>
        <v>-155</v>
      </c>
      <c r="D34" t="s">
        <v>2</v>
      </c>
    </row>
    <row r="36" spans="2:15" ht="17" thickBot="1" x14ac:dyDescent="0.25">
      <c r="B36" s="56" t="s">
        <v>32</v>
      </c>
      <c r="C36" s="56"/>
      <c r="D36" s="56"/>
      <c r="E36" s="56"/>
      <c r="F36" s="56"/>
      <c r="H36" s="10" t="s">
        <v>44</v>
      </c>
    </row>
    <row r="37" spans="2:15" ht="15" x14ac:dyDescent="0.2">
      <c r="B37" s="9" t="s">
        <v>3</v>
      </c>
      <c r="C37" s="35">
        <f>C9+SUM(C21:C33)</f>
        <v>3651</v>
      </c>
      <c r="D37" s="9" t="s">
        <v>2</v>
      </c>
      <c r="E37" s="45">
        <f>C37-E9</f>
        <v>3451</v>
      </c>
      <c r="F37" s="9" t="s">
        <v>59</v>
      </c>
      <c r="H37" s="40">
        <f>AVERAGE(I10:I11)-C45</f>
        <v>28.918730603415742</v>
      </c>
      <c r="I37" t="s">
        <v>37</v>
      </c>
    </row>
    <row r="38" spans="2:15" ht="15" x14ac:dyDescent="0.2">
      <c r="B38" s="9" t="s">
        <v>4</v>
      </c>
      <c r="C38" s="27">
        <f>E45</f>
        <v>20.677211722815667</v>
      </c>
      <c r="D38" s="9" t="s">
        <v>1</v>
      </c>
      <c r="H38" s="40">
        <f>AVERAGE(I10:I11)+C45</f>
        <v>30.195442624930717</v>
      </c>
      <c r="I38" t="s">
        <v>38</v>
      </c>
    </row>
    <row r="39" spans="2:15" ht="15" x14ac:dyDescent="0.2">
      <c r="B39" s="9" t="s">
        <v>5</v>
      </c>
      <c r="C39" s="27">
        <f>C38-xcm</f>
        <v>-0.57278827718433334</v>
      </c>
      <c r="D39" s="9" t="s">
        <v>1</v>
      </c>
      <c r="H39" s="41">
        <f>-D45+J10</f>
        <v>54.485181494876826</v>
      </c>
      <c r="I39" t="s">
        <v>35</v>
      </c>
    </row>
    <row r="40" spans="2:15" ht="15" x14ac:dyDescent="0.2">
      <c r="B40" s="9" t="s">
        <v>29</v>
      </c>
      <c r="C40" s="27">
        <f>C45-C44</f>
        <v>0.22121523427940371</v>
      </c>
      <c r="D40" s="9" t="s">
        <v>1</v>
      </c>
      <c r="E40" s="12" t="s">
        <v>43</v>
      </c>
      <c r="H40" s="42">
        <f>D45+J10</f>
        <v>53.034503544493262</v>
      </c>
      <c r="I40" t="s">
        <v>36</v>
      </c>
    </row>
    <row r="41" spans="2:15" ht="15" x14ac:dyDescent="0.2">
      <c r="B41" s="9" t="s">
        <v>30</v>
      </c>
      <c r="C41" s="28">
        <f>D45-D44</f>
        <v>1.7324152545573501</v>
      </c>
      <c r="D41" s="9" t="s">
        <v>1</v>
      </c>
      <c r="E41" s="12" t="s">
        <v>28</v>
      </c>
    </row>
    <row r="43" spans="2:15" ht="15.75" thickBot="1" x14ac:dyDescent="0.25">
      <c r="B43" s="10"/>
      <c r="C43" s="34" t="s">
        <v>42</v>
      </c>
      <c r="D43" s="34" t="s">
        <v>39</v>
      </c>
      <c r="E43" s="34" t="s">
        <v>40</v>
      </c>
      <c r="F43" s="10"/>
    </row>
    <row r="44" spans="2:15" ht="15" x14ac:dyDescent="0.2">
      <c r="B44" s="9" t="s">
        <v>6</v>
      </c>
      <c r="C44" s="29">
        <f>(C4*I10+C5*I11+D4*I12+D5*I13)/C9</f>
        <v>0.41714077647808467</v>
      </c>
      <c r="D44" s="30">
        <f>(C4*J10+C5*J11+D4*J12+D5*J13)/C9</f>
        <v>-2.4577542297491326</v>
      </c>
      <c r="E44" s="31">
        <f>xcm</f>
        <v>21.25</v>
      </c>
      <c r="F44" s="9" t="s">
        <v>1</v>
      </c>
      <c r="G44" t="s">
        <v>45</v>
      </c>
      <c r="I44" s="2"/>
      <c r="O44">
        <f>C44*-1</f>
        <v>-0.41714077647808467</v>
      </c>
    </row>
    <row r="45" spans="2:15" ht="15" x14ac:dyDescent="0.2">
      <c r="B45" s="9" t="s">
        <v>6</v>
      </c>
      <c r="C45" s="32">
        <f>(C4*I10+C5*I11+D4*I12+D5*I13+C21*D21+C22*D22+C23*D23+C24*D24+C25*D25+C26*D26+C27*D27+C28*D28+C29*D29+C30*D30+C31*D31+C32*D32+C33*D33)/(C9+SUM(C21:C33))</f>
        <v>0.63835601075748838</v>
      </c>
      <c r="D45" s="33">
        <f>(C4*J10+C5*J11+D4*J12+D5*J13+C21*E21+C22*E22+C23*E23+C24*E24+C25*E25+C26*E26+C27*E27+C28*E28+C29*E29+C30*E30+C31*E31+C32*E32+C33*E33)/(C9+SUM(C21:C33))</f>
        <v>-0.72533897519178248</v>
      </c>
      <c r="E45" s="26">
        <f>(xcm*C9+C21*F21+C23*F23+C24*F24+C25*F25+C26*F26+C27*F27+C28*F28+C29*F29+C30*F30+C31*F31+C32*F32+C33*F33)/(C9+SUM(C21:C33))</f>
        <v>20.677211722815667</v>
      </c>
      <c r="F45" s="9" t="s">
        <v>1</v>
      </c>
      <c r="G45" t="s">
        <v>46</v>
      </c>
      <c r="O45">
        <f>C45*-1</f>
        <v>-0.63835601075748838</v>
      </c>
    </row>
    <row r="46" spans="2:15" ht="15" x14ac:dyDescent="0.2">
      <c r="B46" t="s">
        <v>13</v>
      </c>
      <c r="E46" s="1"/>
    </row>
    <row r="48" spans="2:15" ht="15.75" thickBot="1" x14ac:dyDescent="0.25">
      <c r="B48" s="56" t="s">
        <v>34</v>
      </c>
      <c r="C48" s="56"/>
      <c r="D48" s="56"/>
      <c r="E48" s="56"/>
      <c r="F48" s="56"/>
    </row>
    <row r="49" spans="2:7" ht="15" x14ac:dyDescent="0.2">
      <c r="B49" s="9" t="s">
        <v>7</v>
      </c>
      <c r="C49" s="36">
        <f>H38/SUM(H37:H38)*H40/SUM(H39:H40)*C37</f>
        <v>919.8820353276119</v>
      </c>
      <c r="D49" s="37">
        <f>H37/SUM(H37:H38)*H40/SUM(H39:H40)*C37</f>
        <v>880.98793904075137</v>
      </c>
      <c r="E49" s="9" t="s">
        <v>8</v>
      </c>
      <c r="F49" s="13">
        <f>SUM(C49:D49)/SUM(C49:D50)</f>
        <v>0.49325389601982012</v>
      </c>
      <c r="G49" s="49">
        <f>F49-F4</f>
        <v>1.6112540265747599E-2</v>
      </c>
    </row>
    <row r="50" spans="2:7" ht="15" x14ac:dyDescent="0.2">
      <c r="B50" s="9" t="s">
        <v>10</v>
      </c>
      <c r="C50" s="38">
        <f>H38/SUM(H37:H38)*H39/SUM(H39:H40)*C37</f>
        <v>945.04400529842871</v>
      </c>
      <c r="D50" s="39">
        <f>H37/SUM(H37:H38)*H39/SUM(H39:H40)*C37</f>
        <v>905.08602033320801</v>
      </c>
      <c r="E50" s="9" t="s">
        <v>9</v>
      </c>
      <c r="F50" s="13">
        <f>SUM(C50:D50)/SUM(C49:D50)</f>
        <v>0.50674610398017983</v>
      </c>
      <c r="G50" s="49">
        <f>F50-F5</f>
        <v>-1.6112540265747599E-2</v>
      </c>
    </row>
    <row r="51" spans="2:7" ht="15" x14ac:dyDescent="0.2">
      <c r="C51" s="13">
        <f>SUM(C49:C50)/SUM(C49:D50)</f>
        <v>0.51079869641907438</v>
      </c>
      <c r="D51" s="13">
        <f>SUM(D49:D50)/SUM(C49:D50)</f>
        <v>0.48920130358092562</v>
      </c>
    </row>
    <row r="52" spans="2:7" ht="15" x14ac:dyDescent="0.2">
      <c r="C52" s="13">
        <f>C51-C6</f>
        <v>3.7046344117175334E-3</v>
      </c>
      <c r="D52" s="13">
        <f>D51-D6</f>
        <v>-3.7046344117175889E-3</v>
      </c>
    </row>
    <row r="54" spans="2:7" ht="15.75" thickBot="1" x14ac:dyDescent="0.25">
      <c r="B54" s="56" t="s">
        <v>61</v>
      </c>
      <c r="C54" s="56"/>
      <c r="D54" s="56"/>
    </row>
    <row r="55" spans="2:7" ht="15" x14ac:dyDescent="0.2">
      <c r="B55" s="9" t="s">
        <v>60</v>
      </c>
      <c r="C55" s="46">
        <v>6.36</v>
      </c>
      <c r="D55" s="9" t="s">
        <v>1</v>
      </c>
      <c r="E55" s="48" t="s">
        <v>62</v>
      </c>
    </row>
    <row r="56" spans="2:7" ht="15" x14ac:dyDescent="0.2">
      <c r="B56" s="9" t="s">
        <v>66</v>
      </c>
      <c r="C56" s="50">
        <f>(E45-E44)/(E44-C55)</f>
        <v>-3.8467983692702039E-2</v>
      </c>
      <c r="D56" s="9"/>
      <c r="E56" t="s">
        <v>68</v>
      </c>
    </row>
    <row r="57" spans="2:7" ht="15" x14ac:dyDescent="0.2">
      <c r="B57" s="9" t="s">
        <v>67</v>
      </c>
      <c r="C57" s="47">
        <f>(-C9*(E44-C55)+C37*(E45-C55))/(C9*(E44-C55))</f>
        <v>-7.7626539270114384E-2</v>
      </c>
      <c r="D57" s="9"/>
      <c r="E57" t="s">
        <v>69</v>
      </c>
    </row>
    <row r="59" spans="2:7" ht="15.75" thickBot="1" x14ac:dyDescent="0.25">
      <c r="B59" s="56" t="s">
        <v>84</v>
      </c>
      <c r="C59" s="56"/>
      <c r="D59" s="56"/>
    </row>
    <row r="60" spans="2:7" ht="15" x14ac:dyDescent="0.2">
      <c r="B60" s="9" t="s">
        <v>91</v>
      </c>
      <c r="C60" s="46">
        <f>C38-C55</f>
        <v>14.317211722815667</v>
      </c>
      <c r="D60" s="9" t="s">
        <v>1</v>
      </c>
    </row>
    <row r="61" spans="2:7" ht="15.75" thickBot="1" x14ac:dyDescent="0.25">
      <c r="B61" s="9" t="s">
        <v>85</v>
      </c>
      <c r="C61" s="54">
        <v>2860</v>
      </c>
      <c r="D61" s="9" t="s">
        <v>86</v>
      </c>
      <c r="E61" s="56" t="s">
        <v>90</v>
      </c>
      <c r="F61" s="56"/>
      <c r="G61" t="s">
        <v>117</v>
      </c>
    </row>
    <row r="62" spans="2:7" ht="15" x14ac:dyDescent="0.2">
      <c r="B62" s="9" t="s">
        <v>87</v>
      </c>
      <c r="C62" s="52">
        <f>0.8*C37*C60/12/C61</f>
        <v>1.2184648018648021</v>
      </c>
      <c r="D62" s="9" t="s">
        <v>89</v>
      </c>
      <c r="E62" s="52">
        <f>AVERAGE($I$10:$I$11)*SIN(RADIANS(C62))</f>
        <v>0.62852020626182792</v>
      </c>
      <c r="F62" s="9" t="s">
        <v>1</v>
      </c>
    </row>
    <row r="63" spans="2:7" ht="15" x14ac:dyDescent="0.2">
      <c r="B63" s="9" t="s">
        <v>88</v>
      </c>
      <c r="C63" s="52">
        <f>1*C37*C60/12/C61</f>
        <v>1.5230810023310022</v>
      </c>
      <c r="D63" s="9" t="s">
        <v>89</v>
      </c>
      <c r="E63" s="52">
        <f t="shared" ref="E63:E64" si="2">AVERAGE($I$10:$I$11)*SIN(RADIANS(C63))</f>
        <v>0.78561694673946081</v>
      </c>
      <c r="F63" s="9" t="s">
        <v>1</v>
      </c>
    </row>
    <row r="64" spans="2:7" ht="15" x14ac:dyDescent="0.2">
      <c r="B64" s="9" t="s">
        <v>110</v>
      </c>
      <c r="C64" s="53">
        <f>1.2*C37*C60/12/C61</f>
        <v>1.8276972027972027</v>
      </c>
      <c r="D64" s="9" t="s">
        <v>89</v>
      </c>
      <c r="E64" s="53">
        <f t="shared" si="2"/>
        <v>0.94269148120617963</v>
      </c>
      <c r="F64" s="9" t="s">
        <v>1</v>
      </c>
    </row>
    <row r="66" spans="2:14" ht="17" thickBot="1" x14ac:dyDescent="0.25">
      <c r="B66" s="56" t="s">
        <v>111</v>
      </c>
      <c r="C66" s="56"/>
      <c r="D66" s="56"/>
      <c r="E66" s="56"/>
    </row>
    <row r="67" spans="2:14" x14ac:dyDescent="0.2">
      <c r="B67" s="64"/>
      <c r="C67" s="65" t="s">
        <v>97</v>
      </c>
      <c r="D67" s="65" t="s">
        <v>98</v>
      </c>
      <c r="E67" s="9"/>
    </row>
    <row r="68" spans="2:14" x14ac:dyDescent="0.2">
      <c r="B68" s="9" t="s">
        <v>113</v>
      </c>
      <c r="C68" s="67">
        <v>155</v>
      </c>
      <c r="D68" s="68">
        <v>380</v>
      </c>
      <c r="E68" s="9" t="s">
        <v>114</v>
      </c>
    </row>
    <row r="69" spans="2:14" x14ac:dyDescent="0.2">
      <c r="B69" s="9" t="s">
        <v>112</v>
      </c>
      <c r="C69" s="58">
        <f>39/25.4</f>
        <v>1.5354330708661419</v>
      </c>
      <c r="D69" s="59">
        <f>284/25.4</f>
        <v>11.181102362204726</v>
      </c>
      <c r="E69" s="9" t="s">
        <v>1</v>
      </c>
    </row>
    <row r="70" spans="2:14" x14ac:dyDescent="0.2">
      <c r="B70" s="9" t="s">
        <v>129</v>
      </c>
      <c r="C70" s="58">
        <v>-0.48</v>
      </c>
      <c r="D70" s="59">
        <v>-1.76</v>
      </c>
      <c r="E70" s="9" t="s">
        <v>130</v>
      </c>
      <c r="F70" t="s">
        <v>131</v>
      </c>
      <c r="H70" t="s">
        <v>133</v>
      </c>
      <c r="I70" t="s">
        <v>134</v>
      </c>
      <c r="J70" t="s">
        <v>135</v>
      </c>
    </row>
    <row r="71" spans="2:14" x14ac:dyDescent="0.2">
      <c r="B71" s="55" t="s">
        <v>115</v>
      </c>
      <c r="C71" s="60">
        <f>$C$37*0.8*0.5*0.6*$C$69/$I$10</f>
        <v>45.024189723320156</v>
      </c>
      <c r="D71" s="61">
        <f>$C$37*0.8*0.5*0.6*$D$69/$I$11</f>
        <v>335.15442424242428</v>
      </c>
      <c r="E71" s="9" t="s">
        <v>2</v>
      </c>
      <c r="H71">
        <v>0.8</v>
      </c>
      <c r="I71">
        <f>(($C$49+$D$49)*$I$10-0.8*($C$49+$D$49)*$C$69)/(2*$I$10)</f>
        <v>863.421058857243</v>
      </c>
      <c r="N71">
        <f>I71/(C49+D49)</f>
        <v>0.47944664031620554</v>
      </c>
    </row>
    <row r="72" spans="2:14" ht="15" x14ac:dyDescent="0.2">
      <c r="B72" s="55" t="s">
        <v>108</v>
      </c>
      <c r="C72" s="60">
        <f>$C$37*1*0.5*0.65*$C$69/$I$10</f>
        <v>60.97025691699605</v>
      </c>
      <c r="D72" s="61">
        <f>$C$37*1*0.5*0.65*$D$69/$I$11</f>
        <v>453.85494949494961</v>
      </c>
      <c r="E72" s="9" t="s">
        <v>2</v>
      </c>
      <c r="H72">
        <v>1</v>
      </c>
      <c r="I72">
        <f>(($C$49+$D$49)*$I$10-1*($C$49+$D$49)*$C$69)/(2*$I$10)</f>
        <v>854.16757677550834</v>
      </c>
    </row>
    <row r="73" spans="2:14" x14ac:dyDescent="0.2">
      <c r="B73" s="55" t="s">
        <v>109</v>
      </c>
      <c r="C73" s="62">
        <f>$C$37*1.2*0.5*0.7*$C$69/$I$10</f>
        <v>78.792332015810274</v>
      </c>
      <c r="D73" s="63">
        <f>$C$37*1.2*0.5*0.7*$D$69/$I$11</f>
        <v>586.52024242424238</v>
      </c>
      <c r="E73" s="9" t="s">
        <v>2</v>
      </c>
      <c r="H73">
        <v>1.2</v>
      </c>
      <c r="I73">
        <f>(($C$49+$D$49)*$I$10-1.2*($C$49+$D$49)*$C$69)/(2*$I$10)</f>
        <v>844.91409469377356</v>
      </c>
    </row>
    <row r="74" spans="2:14" x14ac:dyDescent="0.2">
      <c r="B74" s="55" t="s">
        <v>115</v>
      </c>
      <c r="C74" s="23">
        <f>C71/($C$68*2)</f>
        <v>0.14523932168812953</v>
      </c>
      <c r="D74" s="24">
        <f>D71/($D$68*2)</f>
        <v>0.44099266347687405</v>
      </c>
      <c r="E74" s="9" t="s">
        <v>1</v>
      </c>
    </row>
    <row r="75" spans="2:14" ht="15" x14ac:dyDescent="0.2">
      <c r="B75" s="55" t="s">
        <v>108</v>
      </c>
      <c r="C75" s="23">
        <f>C72/($C$68*2)</f>
        <v>0.19667824811934209</v>
      </c>
      <c r="D75" s="24">
        <f>D72/($D$68*2)</f>
        <v>0.5971775651249337</v>
      </c>
      <c r="E75" s="9" t="s">
        <v>1</v>
      </c>
    </row>
    <row r="76" spans="2:14" x14ac:dyDescent="0.2">
      <c r="B76" s="55" t="s">
        <v>109</v>
      </c>
      <c r="C76" s="25">
        <f>C73/($C$68*2)</f>
        <v>0.25416881295422666</v>
      </c>
      <c r="D76" s="26">
        <f>D73/($D$68*2)</f>
        <v>0.7717371610845295</v>
      </c>
      <c r="E76" s="9" t="s">
        <v>1</v>
      </c>
    </row>
    <row r="77" spans="2:14" x14ac:dyDescent="0.2">
      <c r="C77" s="1"/>
      <c r="D77" s="1"/>
    </row>
    <row r="78" spans="2:14" ht="17" thickBot="1" x14ac:dyDescent="0.25">
      <c r="B78" s="56" t="s">
        <v>128</v>
      </c>
      <c r="C78" s="56"/>
      <c r="D78" s="56"/>
      <c r="E78" s="56"/>
      <c r="F78" s="56"/>
    </row>
    <row r="79" spans="2:14" x14ac:dyDescent="0.2">
      <c r="B79" s="64"/>
      <c r="C79" s="71" t="s">
        <v>124</v>
      </c>
      <c r="D79" s="71" t="s">
        <v>125</v>
      </c>
      <c r="E79" s="71" t="s">
        <v>126</v>
      </c>
      <c r="F79" s="71" t="s">
        <v>127</v>
      </c>
    </row>
    <row r="80" spans="2:14" x14ac:dyDescent="0.2">
      <c r="B80" s="55" t="s">
        <v>118</v>
      </c>
      <c r="C80" s="23">
        <f>$E62-C74</f>
        <v>0.48328088457369839</v>
      </c>
      <c r="D80" s="24">
        <f>$E62-D74</f>
        <v>0.18752754278495387</v>
      </c>
      <c r="E80" s="23">
        <f>-$E62-C74</f>
        <v>-0.77375952794995739</v>
      </c>
      <c r="F80" s="24">
        <f>-$E62-D74</f>
        <v>-1.069512869738702</v>
      </c>
      <c r="G80" t="s">
        <v>132</v>
      </c>
    </row>
    <row r="81" spans="2:7" ht="15" x14ac:dyDescent="0.2">
      <c r="B81" s="55" t="s">
        <v>119</v>
      </c>
      <c r="C81" s="23">
        <f>$E63-C75</f>
        <v>0.58893869862011872</v>
      </c>
      <c r="D81" s="24">
        <f>$E63-D75</f>
        <v>0.18843938161452711</v>
      </c>
      <c r="E81" s="23">
        <f>-$E63-C75</f>
        <v>-0.9822951948588029</v>
      </c>
      <c r="F81" s="24">
        <f>-$E63-D75</f>
        <v>-1.3827945118643945</v>
      </c>
      <c r="G81" t="s">
        <v>132</v>
      </c>
    </row>
    <row r="82" spans="2:7" x14ac:dyDescent="0.2">
      <c r="B82" s="55" t="s">
        <v>120</v>
      </c>
      <c r="C82" s="25">
        <f>$E64-C76</f>
        <v>0.68852266825195296</v>
      </c>
      <c r="D82" s="26">
        <f>$E64-D76</f>
        <v>0.17095432012165013</v>
      </c>
      <c r="E82" s="25">
        <f>-$E64-C76</f>
        <v>-1.1968602941604063</v>
      </c>
      <c r="F82" s="26">
        <f>-$E64-D76</f>
        <v>-1.7144286422907091</v>
      </c>
      <c r="G82" t="s">
        <v>132</v>
      </c>
    </row>
    <row r="83" spans="2:7" x14ac:dyDescent="0.2">
      <c r="B83" s="55" t="s">
        <v>116</v>
      </c>
      <c r="C83" s="69">
        <v>-2.15</v>
      </c>
      <c r="D83" s="66">
        <v>-1.55</v>
      </c>
      <c r="E83" s="69">
        <v>-2.15</v>
      </c>
      <c r="F83" s="70">
        <v>-1.55</v>
      </c>
      <c r="G83" t="s">
        <v>89</v>
      </c>
    </row>
    <row r="84" spans="2:7" x14ac:dyDescent="0.2">
      <c r="B84" s="55" t="s">
        <v>121</v>
      </c>
      <c r="C84" s="23">
        <f>C$70*C80+C$83</f>
        <v>-2.3819748245953751</v>
      </c>
      <c r="D84" s="24">
        <f>D$70*D80+D$83</f>
        <v>-1.880048475301519</v>
      </c>
      <c r="E84" s="23">
        <f>C$70*E80+E$83</f>
        <v>-1.7785954265840203</v>
      </c>
      <c r="F84" s="24">
        <f>D$70*F80+F$83</f>
        <v>0.33234265074011549</v>
      </c>
      <c r="G84" t="s">
        <v>89</v>
      </c>
    </row>
    <row r="85" spans="2:7" x14ac:dyDescent="0.2">
      <c r="B85" s="55" t="s">
        <v>122</v>
      </c>
      <c r="C85" s="23">
        <f>C$70*C81+C$83</f>
        <v>-2.4326905753376566</v>
      </c>
      <c r="D85" s="24">
        <f>D$70*D81+D$83</f>
        <v>-1.8816533116415677</v>
      </c>
      <c r="E85" s="23">
        <f>C$70*E81+E$83</f>
        <v>-1.6784983064677745</v>
      </c>
      <c r="F85" s="24">
        <f>D$70*F81+F$83</f>
        <v>0.8837183408813345</v>
      </c>
      <c r="G85" t="s">
        <v>89</v>
      </c>
    </row>
    <row r="86" spans="2:7" x14ac:dyDescent="0.2">
      <c r="B86" s="55" t="s">
        <v>123</v>
      </c>
      <c r="C86" s="25">
        <f>C$70*C82+C$83</f>
        <v>-2.4804908807609372</v>
      </c>
      <c r="D86" s="26">
        <f>D$70*D82+D$83</f>
        <v>-1.8508796034141044</v>
      </c>
      <c r="E86" s="25">
        <f>C$70*E82+E$83</f>
        <v>-1.5755070588030049</v>
      </c>
      <c r="F86" s="26">
        <f>D$70*F82+F$83</f>
        <v>1.4673944104316481</v>
      </c>
      <c r="G86" t="s">
        <v>89</v>
      </c>
    </row>
    <row r="89" spans="2:7" x14ac:dyDescent="0.2">
      <c r="C89" s="1"/>
      <c r="D89" s="1"/>
      <c r="E89" s="1"/>
    </row>
    <row r="90" spans="2:7" x14ac:dyDescent="0.2">
      <c r="C90" s="1"/>
      <c r="D90" s="1"/>
      <c r="E90" s="1"/>
    </row>
    <row r="91" spans="2:7" x14ac:dyDescent="0.2">
      <c r="C91" s="1"/>
      <c r="D91" s="1"/>
      <c r="E91" s="1"/>
    </row>
  </sheetData>
  <mergeCells count="13">
    <mergeCell ref="B66:E66"/>
    <mergeCell ref="B78:F78"/>
    <mergeCell ref="H8:K8"/>
    <mergeCell ref="B8:F8"/>
    <mergeCell ref="B3:F3"/>
    <mergeCell ref="B16:F16"/>
    <mergeCell ref="B54:D54"/>
    <mergeCell ref="B36:F36"/>
    <mergeCell ref="B59:D59"/>
    <mergeCell ref="E61:F61"/>
    <mergeCell ref="B1:F1"/>
    <mergeCell ref="B48:F48"/>
    <mergeCell ref="B19:F19"/>
  </mergeCells>
  <hyperlinks>
    <hyperlink ref="E55" r:id="rId1" xr:uid="{E33E7B2A-A9C8-904F-A360-BF51267C881A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1CB5-7897-9F4C-91AF-A41615429668}">
  <dimension ref="A3:F33"/>
  <sheetViews>
    <sheetView workbookViewId="0">
      <selection activeCell="E31" sqref="E31"/>
    </sheetView>
  </sheetViews>
  <sheetFormatPr baseColWidth="10" defaultColWidth="10.83203125" defaultRowHeight="16" x14ac:dyDescent="0.2"/>
  <cols>
    <col min="1" max="1" width="6.5" bestFit="1" customWidth="1"/>
    <col min="2" max="2" width="21.5" bestFit="1" customWidth="1"/>
    <col min="3" max="3" width="19.33203125" bestFit="1" customWidth="1"/>
    <col min="4" max="4" width="18.5" bestFit="1" customWidth="1"/>
    <col min="5" max="5" width="12.33203125" bestFit="1" customWidth="1"/>
  </cols>
  <sheetData>
    <row r="3" spans="1:6" x14ac:dyDescent="0.2">
      <c r="B3" t="s">
        <v>97</v>
      </c>
    </row>
    <row r="4" spans="1:6" x14ac:dyDescent="0.2">
      <c r="A4" t="s">
        <v>106</v>
      </c>
      <c r="B4" t="s">
        <v>102</v>
      </c>
      <c r="C4" t="s">
        <v>103</v>
      </c>
      <c r="D4" t="s">
        <v>101</v>
      </c>
      <c r="E4" t="s">
        <v>99</v>
      </c>
      <c r="F4" t="s">
        <v>100</v>
      </c>
    </row>
    <row r="5" spans="1:6" x14ac:dyDescent="0.2">
      <c r="A5" s="12" t="s">
        <v>92</v>
      </c>
      <c r="B5">
        <v>95.65</v>
      </c>
      <c r="C5" s="1">
        <f>'CG and Roll'!$C$38-(B5/25.4)</f>
        <v>16.911463691319604</v>
      </c>
      <c r="D5" s="2">
        <f>C5/$C$7-1</f>
        <v>-0.11687882883397793</v>
      </c>
      <c r="E5">
        <v>-1.94</v>
      </c>
      <c r="F5">
        <v>1505.4</v>
      </c>
    </row>
    <row r="6" spans="1:6" x14ac:dyDescent="0.2">
      <c r="A6" s="12" t="s">
        <v>93</v>
      </c>
      <c r="B6">
        <v>67.45</v>
      </c>
      <c r="C6" s="1">
        <f>'CG and Roll'!$C$38-(B6/25.4)</f>
        <v>18.021699911792044</v>
      </c>
      <c r="D6" s="2">
        <f t="shared" ref="D6:D10" si="0">C6/$C$7-1</f>
        <v>-5.8901995533746088E-2</v>
      </c>
      <c r="E6">
        <v>-2.23</v>
      </c>
      <c r="F6">
        <v>1508.1</v>
      </c>
    </row>
    <row r="7" spans="1:6" x14ac:dyDescent="0.2">
      <c r="A7" s="12" t="s">
        <v>107</v>
      </c>
      <c r="B7">
        <v>38.799999999999997</v>
      </c>
      <c r="C7" s="1">
        <f>'CG and Roll'!$C$38-(B7/25.4)</f>
        <v>19.149652667697556</v>
      </c>
      <c r="D7" s="2">
        <f t="shared" si="0"/>
        <v>0</v>
      </c>
      <c r="E7">
        <v>-2.5</v>
      </c>
      <c r="F7">
        <v>1509.9</v>
      </c>
    </row>
    <row r="8" spans="1:6" x14ac:dyDescent="0.2">
      <c r="A8" s="12" t="s">
        <v>94</v>
      </c>
      <c r="B8">
        <v>9.6199999999999992</v>
      </c>
      <c r="C8" s="1">
        <f>'CG and Roll'!$C$38-(B8/25.4)</f>
        <v>20.298471565335351</v>
      </c>
      <c r="D8" s="2">
        <f t="shared" si="0"/>
        <v>5.9991631053218697E-2</v>
      </c>
      <c r="E8">
        <v>-2.74</v>
      </c>
      <c r="F8">
        <v>1510.7</v>
      </c>
    </row>
    <row r="9" spans="1:6" x14ac:dyDescent="0.2">
      <c r="A9" s="12" t="s">
        <v>95</v>
      </c>
      <c r="B9">
        <v>-20.2</v>
      </c>
      <c r="C9" s="1">
        <f>'CG and Roll'!$C$38-(B9/25.4)</f>
        <v>21.472487313366848</v>
      </c>
      <c r="D9" s="2">
        <f t="shared" si="0"/>
        <v>0.1212990483941021</v>
      </c>
      <c r="E9">
        <v>-2.96</v>
      </c>
      <c r="F9">
        <v>1510.6</v>
      </c>
    </row>
    <row r="10" spans="1:6" x14ac:dyDescent="0.2">
      <c r="A10" s="12" t="s">
        <v>96</v>
      </c>
      <c r="B10">
        <v>-50.8</v>
      </c>
      <c r="C10" s="1">
        <f>'CG and Roll'!$C$38-(B10/25.4)</f>
        <v>22.677211722815667</v>
      </c>
      <c r="D10" s="2">
        <f t="shared" si="0"/>
        <v>0.18421008027307706</v>
      </c>
      <c r="E10">
        <v>-3.14</v>
      </c>
      <c r="F10">
        <v>1509.4</v>
      </c>
    </row>
    <row r="26" spans="1:6" x14ac:dyDescent="0.2">
      <c r="B26" t="s">
        <v>98</v>
      </c>
    </row>
    <row r="27" spans="1:6" x14ac:dyDescent="0.2">
      <c r="A27" t="s">
        <v>106</v>
      </c>
      <c r="B27" t="s">
        <v>102</v>
      </c>
      <c r="C27" t="s">
        <v>103</v>
      </c>
      <c r="D27" t="s">
        <v>101</v>
      </c>
      <c r="E27" t="s">
        <v>104</v>
      </c>
      <c r="F27" t="s">
        <v>105</v>
      </c>
    </row>
    <row r="28" spans="1:6" x14ac:dyDescent="0.2">
      <c r="A28" s="12" t="s">
        <v>92</v>
      </c>
      <c r="B28">
        <v>315.89999999999998</v>
      </c>
      <c r="C28" s="1">
        <f>'CG and Roll'!$C$38-(B28/25.4)</f>
        <v>8.2402038487999185</v>
      </c>
      <c r="D28" s="2">
        <f t="shared" ref="D28:D29" si="1">C28/$C$30-1</f>
        <v>-0.1340498225963821</v>
      </c>
      <c r="E28">
        <v>0.37</v>
      </c>
      <c r="F28">
        <v>1473.5</v>
      </c>
    </row>
    <row r="29" spans="1:6" x14ac:dyDescent="0.2">
      <c r="A29" s="12" t="s">
        <v>93</v>
      </c>
      <c r="B29">
        <v>299.7</v>
      </c>
      <c r="C29" s="1">
        <f>'CG and Roll'!$C$38-(B29/25.4)</f>
        <v>8.8779991243904703</v>
      </c>
      <c r="D29" s="2">
        <f t="shared" si="1"/>
        <v>-6.7024911298190992E-2</v>
      </c>
      <c r="E29">
        <v>-0.52</v>
      </c>
      <c r="F29">
        <v>1484.1</v>
      </c>
    </row>
    <row r="30" spans="1:6" x14ac:dyDescent="0.2">
      <c r="A30" s="12" t="s">
        <v>107</v>
      </c>
      <c r="B30">
        <v>283.5</v>
      </c>
      <c r="C30" s="1">
        <f>'CG and Roll'!$C$38-(B30/25.4)</f>
        <v>9.5157943999810204</v>
      </c>
      <c r="D30" s="2">
        <f>C30/$C$30-1</f>
        <v>0</v>
      </c>
      <c r="E30">
        <v>-1.4</v>
      </c>
      <c r="F30">
        <v>1494</v>
      </c>
    </row>
    <row r="31" spans="1:6" x14ac:dyDescent="0.2">
      <c r="A31" s="12" t="s">
        <v>94</v>
      </c>
      <c r="B31">
        <v>267.5</v>
      </c>
      <c r="C31" s="1">
        <f>'CG and Roll'!$C$38-(B31/25.4)</f>
        <v>10.145715659823541</v>
      </c>
      <c r="D31" s="2">
        <f t="shared" ref="D31:D33" si="2">C31/$C$30-1</f>
        <v>6.6197443257472788E-2</v>
      </c>
      <c r="E31">
        <v>-2.2799999999999998</v>
      </c>
      <c r="F31">
        <v>1503.3</v>
      </c>
    </row>
    <row r="32" spans="1:6" x14ac:dyDescent="0.2">
      <c r="A32" s="12" t="s">
        <v>95</v>
      </c>
      <c r="B32">
        <v>251.6</v>
      </c>
      <c r="C32" s="1">
        <f>'CG and Roll'!$C$38-(B32/25.4)</f>
        <v>10.771699911792044</v>
      </c>
      <c r="D32" s="2">
        <f t="shared" si="2"/>
        <v>0.1319811524945862</v>
      </c>
      <c r="E32">
        <v>-3.15</v>
      </c>
      <c r="F32">
        <v>1512.1</v>
      </c>
    </row>
    <row r="33" spans="1:6" x14ac:dyDescent="0.2">
      <c r="A33" s="12" t="s">
        <v>96</v>
      </c>
      <c r="B33">
        <v>235.7</v>
      </c>
      <c r="C33" s="1">
        <f>'CG and Roll'!$C$38-(B33/25.4)</f>
        <v>11.397684163760548</v>
      </c>
      <c r="D33" s="2">
        <f t="shared" si="2"/>
        <v>0.1977648617316996</v>
      </c>
      <c r="E33">
        <v>-4.01</v>
      </c>
      <c r="F33">
        <v>1520.2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CG and Roll</vt:lpstr>
      <vt:lpstr>Roll Center Heights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Bryson Gentile</cp:lastModifiedBy>
  <dcterms:created xsi:type="dcterms:W3CDTF">2023-01-30T22:16:27Z</dcterms:created>
  <dcterms:modified xsi:type="dcterms:W3CDTF">2023-05-27T04:58:18Z</dcterms:modified>
</cp:coreProperties>
</file>