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0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ryson/Library/Mobile Documents/com~apple~CloudDocs/Desktop/s54 wagon/"/>
    </mc:Choice>
  </mc:AlternateContent>
  <xr:revisionPtr revIDLastSave="0" documentId="13_ncr:1_{825D588A-37C5-AE4A-AB13-53936C1BB682}" xr6:coauthVersionLast="47" xr6:coauthVersionMax="47" xr10:uidLastSave="{00000000-0000-0000-0000-000000000000}"/>
  <bookViews>
    <workbookView xWindow="3260" yWindow="1320" windowWidth="26180" windowHeight="19300" xr2:uid="{B93094E1-BA2D-0C45-9CAA-35A796EDB315}"/>
  </bookViews>
  <sheets>
    <sheet name="Sheet1" sheetId="1" r:id="rId1"/>
  </sheets>
  <definedNames>
    <definedName name="cgm">Sheet1!#REF!</definedName>
    <definedName name="m_1">Sheet1!#REF!</definedName>
    <definedName name="m_2">Sheet1!#REF!</definedName>
    <definedName name="x_1">Sheet1!#REF!</definedName>
    <definedName name="xcm">Sheet1!$B$17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7" i="1" l="1"/>
  <c r="H11" i="1"/>
  <c r="H10" i="1"/>
  <c r="C6" i="1"/>
  <c r="B6" i="1"/>
  <c r="D37" i="1"/>
  <c r="I12" i="1"/>
  <c r="I11" i="1"/>
  <c r="D14" i="1"/>
  <c r="H13" i="1" s="1"/>
  <c r="D13" i="1"/>
  <c r="H12" i="1" s="1"/>
  <c r="I13" i="1"/>
  <c r="I10" i="1"/>
  <c r="E5" i="1"/>
  <c r="E4" i="1"/>
  <c r="B9" i="1"/>
  <c r="C37" i="1" l="1"/>
  <c r="D38" i="1"/>
  <c r="B30" i="1"/>
  <c r="B37" i="1"/>
  <c r="C38" i="1"/>
  <c r="B34" i="1" s="1"/>
  <c r="B31" i="1"/>
  <c r="B32" i="1" s="1"/>
  <c r="B38" i="1"/>
  <c r="G31" i="1" l="1"/>
  <c r="G30" i="1"/>
  <c r="G32" i="1"/>
  <c r="G33" i="1"/>
  <c r="B33" i="1"/>
  <c r="C42" i="1" l="1"/>
  <c r="B43" i="1"/>
  <c r="B42" i="1"/>
  <c r="C43" i="1"/>
  <c r="C44" i="1" l="1"/>
  <c r="E42" i="1"/>
  <c r="B44" i="1"/>
  <c r="E43" i="1"/>
</calcChain>
</file>

<file path=xl/sharedStrings.xml><?xml version="1.0" encoding="utf-8"?>
<sst xmlns="http://schemas.openxmlformats.org/spreadsheetml/2006/main" count="86" uniqueCount="59">
  <si>
    <t>CG height</t>
  </si>
  <si>
    <t>in</t>
  </si>
  <si>
    <t>lb</t>
  </si>
  <si>
    <t>xcm</t>
  </si>
  <si>
    <t>New CG weight</t>
  </si>
  <si>
    <t>m2</t>
  </si>
  <si>
    <t>New CG height</t>
  </si>
  <si>
    <t>x2</t>
  </si>
  <si>
    <t>x2=(xcm*cgm-m1*x1)/m2)</t>
  </si>
  <si>
    <t>New CG diff</t>
  </si>
  <si>
    <t>X-Y center mass</t>
  </si>
  <si>
    <t>FL</t>
  </si>
  <si>
    <t>FR</t>
  </si>
  <si>
    <t>RR</t>
  </si>
  <si>
    <t>RL</t>
  </si>
  <si>
    <t>mass</t>
  </si>
  <si>
    <t>wheelbase</t>
  </si>
  <si>
    <t>front track</t>
  </si>
  <si>
    <t>rear track</t>
  </si>
  <si>
    <t>(wrt center between wheels)</t>
  </si>
  <si>
    <t>FL wheel</t>
  </si>
  <si>
    <t>x (width)</t>
  </si>
  <si>
    <t>y (length)</t>
  </si>
  <si>
    <t>RL wheel</t>
  </si>
  <si>
    <t>FR wheel</t>
  </si>
  <si>
    <t>Front tire</t>
  </si>
  <si>
    <t>Rear tire</t>
  </si>
  <si>
    <t>mm</t>
  </si>
  <si>
    <t>Item</t>
  </si>
  <si>
    <t>weight</t>
  </si>
  <si>
    <t>Corner Weights</t>
  </si>
  <si>
    <t>CG Info</t>
  </si>
  <si>
    <t>Sunroof</t>
  </si>
  <si>
    <t>height, wagon = 56, M3 = 54</t>
  </si>
  <si>
    <t>Chassis Setup</t>
  </si>
  <si>
    <t>Corner Weight and CG height change calculator</t>
  </si>
  <si>
    <t>+ is Forward</t>
  </si>
  <si>
    <t>CG moved L-R</t>
  </si>
  <si>
    <t>CG moved F-R</t>
  </si>
  <si>
    <t>Distance from centerpoint</t>
  </si>
  <si>
    <t>Relative CG Calculations</t>
  </si>
  <si>
    <t>RR wheel</t>
  </si>
  <si>
    <t>New Target Corner Weights</t>
  </si>
  <si>
    <t>in from front axle</t>
  </si>
  <si>
    <t>in from rear axle</t>
  </si>
  <si>
    <t>in from left track</t>
  </si>
  <si>
    <t>in from right track</t>
  </si>
  <si>
    <t>y: F (+) R (-)</t>
  </si>
  <si>
    <t>z: height</t>
  </si>
  <si>
    <t>Weight Additions/Reductions</t>
  </si>
  <si>
    <t>x: L (+) R (-)</t>
  </si>
  <si>
    <t>+ is Left</t>
  </si>
  <si>
    <t>CG is…</t>
  </si>
  <si>
    <t>no weight changes</t>
  </si>
  <si>
    <t>with weight changes</t>
  </si>
  <si>
    <t>Roof Rack</t>
  </si>
  <si>
    <t>Spare Tire</t>
  </si>
  <si>
    <t>Windsheild cowl</t>
  </si>
  <si>
    <t>Muffler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</si>
</sst>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7" formatCode="0.000"/>
    <numFmt numFmtId="168" formatCode="0.0%"/>
    <numFmt numFmtId="170" formatCode="0.0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1">
    <xf numFmtId="0" fontId="0" fillId="0" borderId="0" xfId="0"/>
    <xf numFmtId="2" fontId="0" fillId="0" borderId="0" xfId="0" applyNumberFormat="1"/>
    <xf numFmtId="9" fontId="0" fillId="0" borderId="0" xfId="1" applyFont="1"/>
    <xf numFmtId="168" fontId="0" fillId="0" borderId="0" xfId="1" applyNumberFormat="1" applyFont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0" fillId="2" borderId="12" xfId="0" applyFill="1" applyBorder="1" applyAlignment="1">
      <alignment horizontal="center"/>
    </xf>
    <xf numFmtId="0" fontId="0" fillId="2" borderId="12" xfId="0" applyFill="1" applyBorder="1"/>
    <xf numFmtId="0" fontId="0" fillId="0" borderId="0" xfId="0" applyFill="1"/>
    <xf numFmtId="0" fontId="0" fillId="0" borderId="0" xfId="0" applyFill="1" applyBorder="1"/>
    <xf numFmtId="0" fontId="0" fillId="2" borderId="13" xfId="0" applyFill="1" applyBorder="1"/>
    <xf numFmtId="0" fontId="2" fillId="2" borderId="12" xfId="0" applyFont="1" applyFill="1" applyBorder="1" applyAlignment="1">
      <alignment horizontal="center"/>
    </xf>
    <xf numFmtId="0" fontId="0" fillId="0" borderId="0" xfId="0" quotePrefix="1"/>
    <xf numFmtId="168" fontId="0" fillId="0" borderId="0" xfId="1" applyNumberFormat="1" applyFont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170" fontId="0" fillId="3" borderId="9" xfId="0" applyNumberFormat="1" applyFill="1" applyBorder="1" applyAlignment="1">
      <alignment horizontal="center"/>
    </xf>
    <xf numFmtId="170" fontId="0" fillId="3" borderId="11" xfId="0" applyNumberFormat="1" applyFill="1" applyBorder="1" applyAlignment="1">
      <alignment horizontal="center"/>
    </xf>
    <xf numFmtId="2" fontId="0" fillId="3" borderId="2" xfId="0" applyNumberFormat="1" applyFill="1" applyBorder="1" applyAlignment="1">
      <alignment horizontal="center"/>
    </xf>
    <xf numFmtId="2" fontId="0" fillId="3" borderId="3" xfId="0" applyNumberFormat="1" applyFill="1" applyBorder="1" applyAlignment="1">
      <alignment horizontal="center"/>
    </xf>
    <xf numFmtId="2" fontId="0" fillId="3" borderId="4" xfId="0" applyNumberFormat="1" applyFill="1" applyBorder="1" applyAlignment="1">
      <alignment horizontal="center"/>
    </xf>
    <xf numFmtId="2" fontId="0" fillId="3" borderId="5" xfId="0" applyNumberFormat="1" applyFill="1" applyBorder="1" applyAlignment="1">
      <alignment horizontal="center"/>
    </xf>
    <xf numFmtId="2" fontId="0" fillId="3" borderId="6" xfId="0" applyNumberFormat="1" applyFill="1" applyBorder="1" applyAlignment="1">
      <alignment horizontal="center"/>
    </xf>
    <xf numFmtId="2" fontId="0" fillId="3" borderId="8" xfId="0" applyNumberFormat="1" applyFill="1" applyBorder="1" applyAlignment="1">
      <alignment horizontal="center"/>
    </xf>
    <xf numFmtId="2" fontId="0" fillId="3" borderId="10" xfId="0" applyNumberFormat="1" applyFill="1" applyBorder="1" applyAlignment="1">
      <alignment horizontal="center"/>
    </xf>
    <xf numFmtId="2" fontId="0" fillId="3" borderId="11" xfId="0" applyNumberFormat="1" applyFill="1" applyBorder="1" applyAlignment="1">
      <alignment horizontal="center"/>
    </xf>
    <xf numFmtId="167" fontId="0" fillId="3" borderId="4" xfId="0" applyNumberFormat="1" applyFill="1" applyBorder="1" applyAlignment="1">
      <alignment horizontal="center"/>
    </xf>
    <xf numFmtId="167" fontId="0" fillId="3" borderId="0" xfId="0" applyNumberForma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167" fontId="0" fillId="3" borderId="6" xfId="0" applyNumberFormat="1" applyFill="1" applyBorder="1" applyAlignment="1">
      <alignment horizontal="center"/>
    </xf>
    <xf numFmtId="167" fontId="0" fillId="3" borderId="7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1" fontId="0" fillId="3" borderId="4" xfId="0" applyNumberFormat="1" applyFill="1" applyBorder="1" applyAlignment="1">
      <alignment horizontal="center"/>
    </xf>
    <xf numFmtId="1" fontId="0" fillId="3" borderId="5" xfId="0" applyNumberFormat="1" applyFill="1" applyBorder="1" applyAlignment="1">
      <alignment horizontal="center"/>
    </xf>
    <xf numFmtId="1" fontId="0" fillId="3" borderId="6" xfId="0" applyNumberFormat="1" applyFill="1" applyBorder="1" applyAlignment="1">
      <alignment horizontal="center"/>
    </xf>
    <xf numFmtId="1" fontId="0" fillId="3" borderId="8" xfId="0" applyNumberFormat="1" applyFill="1" applyBorder="1" applyAlignment="1">
      <alignment horizontal="center"/>
    </xf>
    <xf numFmtId="167" fontId="0" fillId="3" borderId="0" xfId="0" applyNumberFormat="1" applyFill="1"/>
    <xf numFmtId="2" fontId="0" fillId="3" borderId="0" xfId="1" applyNumberFormat="1" applyFont="1" applyFill="1"/>
    <xf numFmtId="2" fontId="0" fillId="3" borderId="0" xfId="0" applyNumberFormat="1" applyFill="1"/>
    <xf numFmtId="1" fontId="0" fillId="0" borderId="0" xfId="0" applyNumberFormat="1"/>
    <xf numFmtId="0" fontId="0" fillId="3" borderId="1" xfId="0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33449</xdr:colOff>
      <xdr:row>17</xdr:row>
      <xdr:rowOff>0</xdr:rowOff>
    </xdr:from>
    <xdr:to>
      <xdr:col>11</xdr:col>
      <xdr:colOff>21823</xdr:colOff>
      <xdr:row>25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3DFAB1A-5AE7-B588-9B2A-BC91D4B2C0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48549" y="3505200"/>
          <a:ext cx="4115874" cy="1651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20335-983F-4E45-A466-29BB147B65B0}">
  <dimension ref="A1:J48"/>
  <sheetViews>
    <sheetView tabSelected="1" workbookViewId="0">
      <selection activeCell="B26" sqref="B26"/>
    </sheetView>
  </sheetViews>
  <sheetFormatPr baseColWidth="10" defaultRowHeight="16" x14ac:dyDescent="0.2"/>
  <cols>
    <col min="1" max="1" width="15.33203125" customWidth="1"/>
    <col min="2" max="2" width="12.83203125" bestFit="1" customWidth="1"/>
    <col min="6" max="6" width="24.83203125" bestFit="1" customWidth="1"/>
  </cols>
  <sheetData>
    <row r="1" spans="1:10" ht="17" thickBot="1" x14ac:dyDescent="0.25">
      <c r="A1" s="16" t="s">
        <v>35</v>
      </c>
      <c r="B1" s="16"/>
      <c r="C1" s="16"/>
      <c r="D1" s="16"/>
      <c r="E1" s="16"/>
    </row>
    <row r="3" spans="1:10" ht="17" thickBot="1" x14ac:dyDescent="0.25">
      <c r="A3" s="11" t="s">
        <v>30</v>
      </c>
      <c r="B3" s="11"/>
      <c r="C3" s="11"/>
      <c r="D3" s="11"/>
      <c r="E3" s="11"/>
    </row>
    <row r="4" spans="1:10" x14ac:dyDescent="0.2">
      <c r="A4" s="10" t="s">
        <v>11</v>
      </c>
      <c r="B4" s="19">
        <v>915</v>
      </c>
      <c r="C4" s="20">
        <v>901</v>
      </c>
      <c r="D4" s="10" t="s">
        <v>12</v>
      </c>
      <c r="E4" s="18">
        <f>SUM(B4:C4)/SUM(B4:C5)</f>
        <v>0.47714135575407252</v>
      </c>
    </row>
    <row r="5" spans="1:10" x14ac:dyDescent="0.2">
      <c r="A5" s="10" t="s">
        <v>14</v>
      </c>
      <c r="B5" s="21">
        <v>1015</v>
      </c>
      <c r="C5" s="22">
        <v>975</v>
      </c>
      <c r="D5" s="10" t="s">
        <v>13</v>
      </c>
      <c r="E5" s="18">
        <f>SUM(B5:C5)/SUM(B4:C5)</f>
        <v>0.52285864424592743</v>
      </c>
    </row>
    <row r="6" spans="1:10" x14ac:dyDescent="0.2">
      <c r="A6" s="13"/>
      <c r="B6" s="18">
        <f>SUM(B4:B5)/SUM(B4:C5)</f>
        <v>0.50709406200735685</v>
      </c>
      <c r="C6" s="18">
        <f>SUM(C4:C5)/SUM(B4:C5)</f>
        <v>0.49290593799264321</v>
      </c>
      <c r="D6" s="13"/>
      <c r="E6" s="3"/>
    </row>
    <row r="7" spans="1:10" x14ac:dyDescent="0.2">
      <c r="A7" s="13"/>
      <c r="B7" s="14"/>
      <c r="C7" s="14"/>
      <c r="D7" s="13"/>
      <c r="E7" s="3"/>
    </row>
    <row r="8" spans="1:10" ht="17" thickBot="1" x14ac:dyDescent="0.25">
      <c r="A8" s="11" t="s">
        <v>34</v>
      </c>
      <c r="B8" s="11"/>
      <c r="C8" s="11"/>
      <c r="D8" s="11"/>
      <c r="E8" s="11"/>
      <c r="G8" s="11" t="s">
        <v>39</v>
      </c>
      <c r="H8" s="11"/>
      <c r="I8" s="11"/>
      <c r="J8" s="11"/>
    </row>
    <row r="9" spans="1:10" x14ac:dyDescent="0.2">
      <c r="A9" s="10" t="s">
        <v>15</v>
      </c>
      <c r="B9" s="41">
        <f>SUM(B4:C5)</f>
        <v>3806</v>
      </c>
      <c r="C9" s="10" t="s">
        <v>2</v>
      </c>
      <c r="G9" s="10"/>
      <c r="H9" s="10" t="s">
        <v>21</v>
      </c>
      <c r="I9" s="10" t="s">
        <v>22</v>
      </c>
      <c r="J9" s="10"/>
    </row>
    <row r="10" spans="1:10" x14ac:dyDescent="0.2">
      <c r="A10" s="10" t="s">
        <v>16</v>
      </c>
      <c r="B10" s="23">
        <v>107.5</v>
      </c>
      <c r="C10" s="10" t="s">
        <v>1</v>
      </c>
      <c r="G10" s="10" t="s">
        <v>20</v>
      </c>
      <c r="H10" s="27">
        <f>B11/2-D13/2</f>
        <v>24.927165354330707</v>
      </c>
      <c r="I10" s="28">
        <f>B10/2</f>
        <v>53.75</v>
      </c>
      <c r="J10" s="10" t="s">
        <v>1</v>
      </c>
    </row>
    <row r="11" spans="1:10" x14ac:dyDescent="0.2">
      <c r="A11" s="10" t="s">
        <v>17</v>
      </c>
      <c r="B11" s="23">
        <v>59.5</v>
      </c>
      <c r="C11" s="10" t="s">
        <v>1</v>
      </c>
      <c r="G11" s="10" t="s">
        <v>23</v>
      </c>
      <c r="H11" s="29">
        <f>B12/2-D14/2</f>
        <v>24.802165354330707</v>
      </c>
      <c r="I11" s="30">
        <f>-B10/2</f>
        <v>-53.75</v>
      </c>
      <c r="J11" s="10" t="s">
        <v>1</v>
      </c>
    </row>
    <row r="12" spans="1:10" x14ac:dyDescent="0.2">
      <c r="A12" s="10" t="s">
        <v>18</v>
      </c>
      <c r="B12" s="23">
        <v>59.25</v>
      </c>
      <c r="C12" s="10" t="s">
        <v>1</v>
      </c>
      <c r="G12" s="10" t="s">
        <v>24</v>
      </c>
      <c r="H12" s="29">
        <f>-B11/2+D13/2</f>
        <v>-24.927165354330707</v>
      </c>
      <c r="I12" s="30">
        <f>B10/2</f>
        <v>53.75</v>
      </c>
      <c r="J12" s="10" t="s">
        <v>1</v>
      </c>
    </row>
    <row r="13" spans="1:10" x14ac:dyDescent="0.2">
      <c r="A13" s="10" t="s">
        <v>25</v>
      </c>
      <c r="B13" s="23">
        <v>245</v>
      </c>
      <c r="C13" s="10" t="s">
        <v>27</v>
      </c>
      <c r="D13" s="25">
        <f>B13/25.4</f>
        <v>9.6456692913385833</v>
      </c>
      <c r="E13" s="10" t="s">
        <v>1</v>
      </c>
      <c r="G13" s="10" t="s">
        <v>41</v>
      </c>
      <c r="H13" s="31">
        <f>-B12/2+D14/2</f>
        <v>-24.802165354330707</v>
      </c>
      <c r="I13" s="32">
        <f>-B10/2</f>
        <v>-53.75</v>
      </c>
      <c r="J13" s="10" t="s">
        <v>1</v>
      </c>
    </row>
    <row r="14" spans="1:10" x14ac:dyDescent="0.2">
      <c r="A14" s="10" t="s">
        <v>26</v>
      </c>
      <c r="B14" s="24">
        <v>245</v>
      </c>
      <c r="C14" s="10" t="s">
        <v>27</v>
      </c>
      <c r="D14" s="26">
        <f>B14/25.4</f>
        <v>9.6456692913385833</v>
      </c>
      <c r="E14" s="10" t="s">
        <v>1</v>
      </c>
    </row>
    <row r="16" spans="1:10" ht="17" thickBot="1" x14ac:dyDescent="0.25">
      <c r="A16" s="11" t="s">
        <v>31</v>
      </c>
      <c r="B16" s="11"/>
      <c r="C16" s="11"/>
      <c r="D16" s="11"/>
      <c r="E16" s="11"/>
    </row>
    <row r="17" spans="1:8" x14ac:dyDescent="0.2">
      <c r="A17" s="10" t="s">
        <v>0</v>
      </c>
      <c r="B17" s="24">
        <v>21.25</v>
      </c>
      <c r="C17" s="10" t="s">
        <v>1</v>
      </c>
      <c r="D17" t="s">
        <v>3</v>
      </c>
    </row>
    <row r="19" spans="1:8" ht="17" thickBot="1" x14ac:dyDescent="0.25">
      <c r="A19" s="16" t="s">
        <v>49</v>
      </c>
      <c r="B19" s="16"/>
      <c r="C19" s="16"/>
      <c r="D19" s="16"/>
      <c r="E19" s="16"/>
      <c r="F19" t="s">
        <v>19</v>
      </c>
    </row>
    <row r="20" spans="1:8" ht="17" thickBot="1" x14ac:dyDescent="0.25">
      <c r="A20" s="15" t="s">
        <v>28</v>
      </c>
      <c r="B20" s="40" t="s">
        <v>29</v>
      </c>
      <c r="C20" s="40" t="s">
        <v>50</v>
      </c>
      <c r="D20" s="40" t="s">
        <v>47</v>
      </c>
      <c r="E20" s="40" t="s">
        <v>48</v>
      </c>
    </row>
    <row r="21" spans="1:8" x14ac:dyDescent="0.2">
      <c r="A21" s="4" t="s">
        <v>32</v>
      </c>
      <c r="B21" s="5"/>
      <c r="C21" s="5">
        <v>0</v>
      </c>
      <c r="D21" s="5">
        <v>0</v>
      </c>
      <c r="E21" s="6">
        <v>56</v>
      </c>
      <c r="F21" t="s">
        <v>33</v>
      </c>
    </row>
    <row r="22" spans="1:8" x14ac:dyDescent="0.2">
      <c r="A22" s="4" t="s">
        <v>55</v>
      </c>
      <c r="B22" s="5"/>
      <c r="C22" s="5">
        <v>0</v>
      </c>
      <c r="D22" s="5">
        <v>0</v>
      </c>
      <c r="E22" s="6">
        <v>60</v>
      </c>
    </row>
    <row r="23" spans="1:8" x14ac:dyDescent="0.2">
      <c r="A23" s="4" t="s">
        <v>56</v>
      </c>
      <c r="B23" s="5"/>
      <c r="C23" s="5">
        <v>0</v>
      </c>
      <c r="D23" s="5">
        <v>-70</v>
      </c>
      <c r="E23" s="6">
        <v>12</v>
      </c>
    </row>
    <row r="24" spans="1:8" x14ac:dyDescent="0.2">
      <c r="A24" s="4" t="s">
        <v>57</v>
      </c>
      <c r="B24" s="14">
        <v>-6</v>
      </c>
      <c r="C24" s="14">
        <v>0</v>
      </c>
      <c r="D24" s="14">
        <v>36</v>
      </c>
      <c r="E24" s="6">
        <v>30</v>
      </c>
    </row>
    <row r="25" spans="1:8" x14ac:dyDescent="0.2">
      <c r="A25" s="4" t="s">
        <v>58</v>
      </c>
      <c r="B25" s="14"/>
      <c r="C25" s="14">
        <v>18</v>
      </c>
      <c r="D25" s="14">
        <v>-75</v>
      </c>
      <c r="E25" s="6">
        <v>12</v>
      </c>
    </row>
    <row r="26" spans="1:8" x14ac:dyDescent="0.2">
      <c r="A26" s="7"/>
      <c r="B26" s="8"/>
      <c r="C26" s="8"/>
      <c r="D26" s="8"/>
      <c r="E26" s="9"/>
    </row>
    <row r="27" spans="1:8" x14ac:dyDescent="0.2">
      <c r="A27" s="5"/>
      <c r="B27" s="50">
        <f>SUM(B21:B26)</f>
        <v>-6</v>
      </c>
      <c r="C27" s="5" t="s">
        <v>2</v>
      </c>
      <c r="D27" s="5"/>
      <c r="E27" s="5"/>
    </row>
    <row r="29" spans="1:8" ht="17" thickBot="1" x14ac:dyDescent="0.25">
      <c r="A29" s="11" t="s">
        <v>40</v>
      </c>
      <c r="B29" s="11"/>
      <c r="C29" s="11"/>
      <c r="D29" s="11"/>
      <c r="E29" s="11"/>
      <c r="G29" s="12" t="s">
        <v>52</v>
      </c>
    </row>
    <row r="30" spans="1:8" x14ac:dyDescent="0.2">
      <c r="A30" s="10" t="s">
        <v>4</v>
      </c>
      <c r="B30" s="41">
        <f>B9+SUM(B21:B26)</f>
        <v>3800</v>
      </c>
      <c r="C30" s="10" t="s">
        <v>2</v>
      </c>
      <c r="D30" t="s">
        <v>5</v>
      </c>
      <c r="G30" s="46">
        <f>AVERAGE(H10:H11)-B38</f>
        <v>24.511753004558638</v>
      </c>
      <c r="H30" t="s">
        <v>45</v>
      </c>
    </row>
    <row r="31" spans="1:8" x14ac:dyDescent="0.2">
      <c r="A31" s="10" t="s">
        <v>6</v>
      </c>
      <c r="B31" s="33">
        <f>D38</f>
        <v>21.236184210526314</v>
      </c>
      <c r="C31" s="10" t="s">
        <v>1</v>
      </c>
      <c r="D31" t="s">
        <v>7</v>
      </c>
      <c r="F31" t="s">
        <v>8</v>
      </c>
      <c r="G31" s="46">
        <f>AVERAGE(H10:H11)+B38</f>
        <v>25.217577704102776</v>
      </c>
      <c r="H31" t="s">
        <v>46</v>
      </c>
    </row>
    <row r="32" spans="1:8" x14ac:dyDescent="0.2">
      <c r="A32" s="10" t="s">
        <v>9</v>
      </c>
      <c r="B32" s="33">
        <f>B31-xcm</f>
        <v>-1.3815789473685669E-2</v>
      </c>
      <c r="C32" s="10" t="s">
        <v>1</v>
      </c>
      <c r="G32" s="47">
        <f>-C38+I10</f>
        <v>56.26802631578947</v>
      </c>
      <c r="H32" t="s">
        <v>43</v>
      </c>
    </row>
    <row r="33" spans="1:8" x14ac:dyDescent="0.2">
      <c r="A33" s="10" t="s">
        <v>37</v>
      </c>
      <c r="B33" s="33">
        <f>B38-B37</f>
        <v>5.5635157609890129E-4</v>
      </c>
      <c r="C33" s="10" t="s">
        <v>1</v>
      </c>
      <c r="D33" s="17" t="s">
        <v>51</v>
      </c>
      <c r="G33" s="48">
        <f>C38+I10</f>
        <v>51.23197368421053</v>
      </c>
      <c r="H33" t="s">
        <v>44</v>
      </c>
    </row>
    <row r="34" spans="1:8" x14ac:dyDescent="0.2">
      <c r="A34" s="10" t="s">
        <v>38</v>
      </c>
      <c r="B34" s="34">
        <f>C38-C37</f>
        <v>-6.0722059352269042E-2</v>
      </c>
      <c r="C34" s="10" t="s">
        <v>1</v>
      </c>
      <c r="D34" s="17" t="s">
        <v>36</v>
      </c>
    </row>
    <row r="36" spans="1:8" ht="17" thickBot="1" x14ac:dyDescent="0.25">
      <c r="A36" s="12"/>
      <c r="B36" s="40" t="s">
        <v>50</v>
      </c>
      <c r="C36" s="40" t="s">
        <v>47</v>
      </c>
      <c r="D36" s="40" t="s">
        <v>48</v>
      </c>
      <c r="E36" s="12"/>
    </row>
    <row r="37" spans="1:8" x14ac:dyDescent="0.2">
      <c r="A37" s="10" t="s">
        <v>10</v>
      </c>
      <c r="B37" s="35">
        <f>(B4*H10+B5*H11+C4*H12+C5*H13)/B9</f>
        <v>0.35235599819596952</v>
      </c>
      <c r="C37" s="36">
        <f>(B4*I10+B5*I11+C4*I12+C5*I13)/B9</f>
        <v>-2.4573042564372045</v>
      </c>
      <c r="D37" s="37">
        <f>xcm</f>
        <v>21.25</v>
      </c>
      <c r="E37" s="10" t="s">
        <v>1</v>
      </c>
      <c r="F37" t="s">
        <v>53</v>
      </c>
      <c r="H37" s="2"/>
    </row>
    <row r="38" spans="1:8" x14ac:dyDescent="0.2">
      <c r="A38" s="10" t="s">
        <v>10</v>
      </c>
      <c r="B38" s="38">
        <f>(B4*H10+B5*H11+C4*H12+C5*H13+B21*C21+B22*C22+B23*C23+B24*C24+B25*C25+B26*C26)/(B9+SUM(B21:B26))</f>
        <v>0.35291234977206842</v>
      </c>
      <c r="C38" s="39">
        <f>(B4*I10+B5*I11+C4*I12+C5*I13+B21*D21+B22*D22+B23*D23+B24*D24+B25*D25+B26*D26)/(B9+SUM(B21:B26))</f>
        <v>-2.5180263157894736</v>
      </c>
      <c r="D38" s="32">
        <f>(xcm*B9+B21*E21+B22*E22+B23*E23+B24*E24+B25*E25+B26*E26)/(B9+SUM(B21:B26))</f>
        <v>21.236184210526314</v>
      </c>
      <c r="E38" s="10" t="s">
        <v>1</v>
      </c>
      <c r="F38" t="s">
        <v>54</v>
      </c>
    </row>
    <row r="39" spans="1:8" x14ac:dyDescent="0.2">
      <c r="A39" t="s">
        <v>19</v>
      </c>
      <c r="D39" s="1"/>
    </row>
    <row r="41" spans="1:8" ht="17" thickBot="1" x14ac:dyDescent="0.25">
      <c r="A41" s="11" t="s">
        <v>42</v>
      </c>
      <c r="B41" s="11"/>
      <c r="C41" s="11"/>
      <c r="D41" s="11"/>
      <c r="E41" s="11"/>
    </row>
    <row r="42" spans="1:8" x14ac:dyDescent="0.2">
      <c r="A42" s="10" t="s">
        <v>11</v>
      </c>
      <c r="B42" s="42">
        <f>G31/SUM(G30:G31)*G33/SUM(G32:G33)*B30</f>
        <v>918.34734128158618</v>
      </c>
      <c r="C42" s="43">
        <f>G30/SUM(G30:G31)*G33/SUM(G32:G33)*B30</f>
        <v>892.64335639283252</v>
      </c>
      <c r="D42" s="10" t="s">
        <v>12</v>
      </c>
      <c r="E42" s="18">
        <f>SUM(B42:C42)/SUM(B42:C43)</f>
        <v>0.47657649938800489</v>
      </c>
    </row>
    <row r="43" spans="1:8" x14ac:dyDescent="0.2">
      <c r="A43" s="10" t="s">
        <v>14</v>
      </c>
      <c r="B43" s="44">
        <f>G31/SUM(G30:G31)*G32/SUM(G32:G33)*B30</f>
        <v>1008.6199818257863</v>
      </c>
      <c r="C43" s="45">
        <f>G30/SUM(G30:G31)*G32/SUM(G32:G33)*B30</f>
        <v>980.38932049979485</v>
      </c>
      <c r="D43" s="10" t="s">
        <v>13</v>
      </c>
      <c r="E43" s="18">
        <f>SUM(B43:C43)/SUM(B42:C43)</f>
        <v>0.52342350061199505</v>
      </c>
    </row>
    <row r="44" spans="1:8" x14ac:dyDescent="0.2">
      <c r="B44" s="18">
        <f>SUM(B42:B43)/SUM(B42:C43)</f>
        <v>0.50709666397562436</v>
      </c>
      <c r="C44" s="18">
        <f>SUM(C42:C43)/SUM(B42:C43)</f>
        <v>0.49290333602437564</v>
      </c>
    </row>
    <row r="48" spans="1:8" x14ac:dyDescent="0.2">
      <c r="B48" s="49"/>
      <c r="C48" s="49"/>
    </row>
  </sheetData>
  <mergeCells count="8">
    <mergeCell ref="A29:E29"/>
    <mergeCell ref="A1:E1"/>
    <mergeCell ref="A41:E41"/>
    <mergeCell ref="A19:E19"/>
    <mergeCell ref="G8:J8"/>
    <mergeCell ref="A8:E8"/>
    <mergeCell ref="A3:E3"/>
    <mergeCell ref="A16:E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xcm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2023-01-30T22:16:27Z</dcterms:created>
  <dcterms:modified xsi:type="dcterms:W3CDTF">2023-01-31T03:05:45Z</dcterms:modified>
</cp:coreProperties>
</file>