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bryson/Library/Mobile Documents/com~apple~CloudDocs/Desktop/s54 wagon/Suspension and Corner Balance/"/>
    </mc:Choice>
  </mc:AlternateContent>
  <xr:revisionPtr revIDLastSave="0" documentId="13_ncr:1_{7F3638A7-C187-5948-873A-A9C0E29837DB}" xr6:coauthVersionLast="47" xr6:coauthVersionMax="47" xr10:uidLastSave="{00000000-0000-0000-0000-000000000000}"/>
  <bookViews>
    <workbookView xWindow="0" yWindow="740" windowWidth="34560" windowHeight="21600" xr2:uid="{B93094E1-BA2D-0C45-9CAA-35A796EDB315}"/>
  </bookViews>
  <sheets>
    <sheet name="CG and Roll" sheetId="1" r:id="rId1"/>
    <sheet name="Roll Center Heights" sheetId="2" r:id="rId2"/>
  </sheets>
  <definedNames>
    <definedName name="cgm">'CG and Roll'!#REF!</definedName>
    <definedName name="m_1">'CG and Roll'!#REF!</definedName>
    <definedName name="m_2">'CG and Roll'!#REF!</definedName>
    <definedName name="x_1">'CG and Roll'!#REF!</definedName>
    <definedName name="xcm">'CG and Roll'!$C$17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64" i="1" l="1"/>
  <c r="C63" i="1"/>
  <c r="C62" i="1"/>
  <c r="C34" i="1"/>
  <c r="O22" i="1"/>
  <c r="O25" i="1"/>
  <c r="O28" i="1"/>
  <c r="O29" i="1"/>
  <c r="O30" i="1"/>
  <c r="O31" i="1"/>
  <c r="O32" i="1"/>
  <c r="O23" i="1"/>
  <c r="O24" i="1"/>
  <c r="O26" i="1"/>
  <c r="O27" i="1"/>
  <c r="O33" i="1"/>
  <c r="O21" i="1"/>
  <c r="E11" i="1"/>
  <c r="E12" i="1"/>
  <c r="E10" i="1"/>
  <c r="J13" i="1" s="1"/>
  <c r="E14" i="1"/>
  <c r="I13" i="1" s="1"/>
  <c r="E13" i="1"/>
  <c r="D6" i="1"/>
  <c r="C6" i="1"/>
  <c r="E44" i="1"/>
  <c r="F5" i="1"/>
  <c r="F4" i="1"/>
  <c r="C9" i="1"/>
  <c r="C37" i="1" s="1"/>
  <c r="E37" i="1" s="1"/>
  <c r="J12" i="1" l="1"/>
  <c r="J11" i="1"/>
  <c r="I11" i="1"/>
  <c r="J10" i="1"/>
  <c r="D45" i="1" s="1"/>
  <c r="H39" i="1" s="1"/>
  <c r="I10" i="1"/>
  <c r="I12" i="1"/>
  <c r="C45" i="1" s="1"/>
  <c r="E45" i="1"/>
  <c r="C57" i="1" s="1"/>
  <c r="C44" i="1" l="1"/>
  <c r="O44" i="1" s="1"/>
  <c r="D44" i="1"/>
  <c r="C41" i="1" s="1"/>
  <c r="H40" i="1"/>
  <c r="H37" i="1"/>
  <c r="O45" i="1"/>
  <c r="H38" i="1"/>
  <c r="C38" i="1"/>
  <c r="C60" i="1" s="1"/>
  <c r="C56" i="1"/>
  <c r="D50" i="1" l="1"/>
  <c r="C30" i="2"/>
  <c r="D30" i="2" s="1"/>
  <c r="C8" i="2"/>
  <c r="C32" i="2"/>
  <c r="C31" i="2"/>
  <c r="C6" i="2"/>
  <c r="C7" i="2"/>
  <c r="D7" i="2" s="1"/>
  <c r="C28" i="2"/>
  <c r="C9" i="2"/>
  <c r="C10" i="2"/>
  <c r="C5" i="2"/>
  <c r="C33" i="2"/>
  <c r="C29" i="2"/>
  <c r="D29" i="2" s="1"/>
  <c r="D49" i="1"/>
  <c r="C39" i="1"/>
  <c r="C40" i="1"/>
  <c r="C49" i="1"/>
  <c r="C50" i="1"/>
  <c r="D31" i="2" l="1"/>
  <c r="D28" i="2"/>
  <c r="D32" i="2"/>
  <c r="D33" i="2"/>
  <c r="D10" i="2"/>
  <c r="D51" i="1"/>
  <c r="D52" i="1" s="1"/>
  <c r="D9" i="2"/>
  <c r="F50" i="1"/>
  <c r="G50" i="1" s="1"/>
  <c r="D5" i="2"/>
  <c r="D6" i="2"/>
  <c r="D8" i="2"/>
  <c r="E62" i="1"/>
  <c r="E63" i="1"/>
  <c r="E64" i="1"/>
  <c r="C51" i="1"/>
  <c r="C52" i="1" s="1"/>
  <c r="F49" i="1"/>
  <c r="G49" i="1" s="1"/>
</calcChain>
</file>

<file path=xl/sharedStrings.xml><?xml version="1.0" encoding="utf-8"?>
<sst xmlns="http://schemas.openxmlformats.org/spreadsheetml/2006/main" count="156" uniqueCount="109">
  <si>
    <t>CG height</t>
  </si>
  <si>
    <t>in</t>
  </si>
  <si>
    <t>lb</t>
  </si>
  <si>
    <t>New CG weight</t>
  </si>
  <si>
    <t>New CG height</t>
  </si>
  <si>
    <t>New CG diff</t>
  </si>
  <si>
    <t>X-Y center mass</t>
  </si>
  <si>
    <t>FL</t>
  </si>
  <si>
    <t>FR</t>
  </si>
  <si>
    <t>RR</t>
  </si>
  <si>
    <t>RL</t>
  </si>
  <si>
    <t>mass</t>
  </si>
  <si>
    <t>wheelbase</t>
  </si>
  <si>
    <t>(wrt center between wheels)</t>
  </si>
  <si>
    <t>FL wheel</t>
  </si>
  <si>
    <t>x (width)</t>
  </si>
  <si>
    <t>y (length)</t>
  </si>
  <si>
    <t>RL wheel</t>
  </si>
  <si>
    <t>FR wheel</t>
  </si>
  <si>
    <t>Front tire</t>
  </si>
  <si>
    <t>Rear tire</t>
  </si>
  <si>
    <t>mm</t>
  </si>
  <si>
    <t>Item</t>
  </si>
  <si>
    <t>weight</t>
  </si>
  <si>
    <t>Corner Weights</t>
  </si>
  <si>
    <t>CG Info</t>
  </si>
  <si>
    <t>Chassis Setup</t>
  </si>
  <si>
    <t>Corner Weight and CG height change calculator</t>
  </si>
  <si>
    <t>+ is Forward</t>
  </si>
  <si>
    <t>CG moved L-R</t>
  </si>
  <si>
    <t>CG moved F-R</t>
  </si>
  <si>
    <t>Distance from centerpoint</t>
  </si>
  <si>
    <t>Relative CG Calculations</t>
  </si>
  <si>
    <t>RR wheel</t>
  </si>
  <si>
    <t>New Target Corner Weights</t>
  </si>
  <si>
    <t>in from front axle</t>
  </si>
  <si>
    <t>in from rear axle</t>
  </si>
  <si>
    <t>in from left track</t>
  </si>
  <si>
    <t>in from right track</t>
  </si>
  <si>
    <t>y: F (+) R (-)</t>
  </si>
  <si>
    <t>z: height</t>
  </si>
  <si>
    <t>Weight Additions/Reductions</t>
  </si>
  <si>
    <t>x: L (+) R (-)</t>
  </si>
  <si>
    <t>+ is Left</t>
  </si>
  <si>
    <t>CG is…</t>
  </si>
  <si>
    <t>no weight changes</t>
  </si>
  <si>
    <t>with weight changes</t>
  </si>
  <si>
    <t>Roof Rack</t>
  </si>
  <si>
    <t>Spare Tire</t>
  </si>
  <si>
    <t>Windsheild cowl</t>
  </si>
  <si>
    <t>Muffler</t>
  </si>
  <si>
    <t>Battery</t>
  </si>
  <si>
    <t xml:space="preserve">front track outer </t>
  </si>
  <si>
    <t>rear track outer</t>
  </si>
  <si>
    <t>Donut spare</t>
  </si>
  <si>
    <t>Slon brace savings</t>
  </si>
  <si>
    <t>Trunk stuff</t>
  </si>
  <si>
    <t>Daily duty things</t>
  </si>
  <si>
    <t>lb driver</t>
  </si>
  <si>
    <t>w/o driver</t>
  </si>
  <si>
    <t>Roll center height</t>
  </si>
  <si>
    <t>Roll Couple Changes</t>
  </si>
  <si>
    <t>geometry here</t>
  </si>
  <si>
    <t>Cross bars (20) + bike racks (11+14) + rails (10)</t>
  </si>
  <si>
    <t>e36 M3 (48) -&gt; SS dual 2.5" (28)</t>
  </si>
  <si>
    <t>49lb OEM -&gt; 18.5lb antigravity</t>
  </si>
  <si>
    <t>CG-RC change</t>
  </si>
  <si>
    <t>Total roll change</t>
  </si>
  <si>
    <t>positive rolls more with same weight</t>
  </si>
  <si>
    <t>positirve rolls more with same cornering G (weight * distance from RC)</t>
  </si>
  <si>
    <t>Hitch</t>
  </si>
  <si>
    <t>Fuel</t>
  </si>
  <si>
    <t>V-brace</t>
  </si>
  <si>
    <t>Brace and brackets (5?)</t>
  </si>
  <si>
    <t>Vincebar</t>
  </si>
  <si>
    <t>Stealth epoxy</t>
  </si>
  <si>
    <t>BMW/Westfalia aluminum (10?)</t>
  </si>
  <si>
    <t>Half tank ~50lb. Baseline is full tank</t>
  </si>
  <si>
    <t>Hotchkis front bar</t>
  </si>
  <si>
    <t>e36 Washer tank</t>
  </si>
  <si>
    <t>M3 Washer tank</t>
  </si>
  <si>
    <t>Tank, pump, bracket</t>
  </si>
  <si>
    <t>Tank, pump</t>
  </si>
  <si>
    <t>Metal xi sway brackets, CSL rubbers</t>
  </si>
  <si>
    <t>Body Roll Calcs</t>
  </si>
  <si>
    <t>Roll stiffness</t>
  </si>
  <si>
    <t>lb-ft/deg</t>
  </si>
  <si>
    <t>Roll @ .8G</t>
  </si>
  <si>
    <t>Roll @ 1G</t>
  </si>
  <si>
    <t>deg</t>
  </si>
  <si>
    <t>Approx Suspension Travel</t>
  </si>
  <si>
    <t>Roll @ 1.4G</t>
  </si>
  <si>
    <t>Roll moment arm</t>
  </si>
  <si>
    <t>+ 1"</t>
  </si>
  <si>
    <t>+ .5"</t>
  </si>
  <si>
    <t>- .5"</t>
  </si>
  <si>
    <t>- 1"</t>
  </si>
  <si>
    <t>- 1.5"</t>
  </si>
  <si>
    <t>Front</t>
  </si>
  <si>
    <t>Rear</t>
  </si>
  <si>
    <t>Front Camber</t>
  </si>
  <si>
    <t>Front Track</t>
  </si>
  <si>
    <t>Roll Moment Change</t>
  </si>
  <si>
    <t>Roll Center Height (mm)</t>
  </si>
  <si>
    <t>Roll Moment Arm (in)</t>
  </si>
  <si>
    <t>Rear Camber</t>
  </si>
  <si>
    <t>Rear Track</t>
  </si>
  <si>
    <t>Height</t>
  </si>
  <si>
    <t>'Stock'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</si>
</sst>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"/>
    <numFmt numFmtId="165" formatCode="0.0%"/>
    <numFmt numFmtId="166" formatCode="0.0"/>
  </numFmts>
  <fonts count="4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8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57">
    <xf numFmtId="0" fontId="0" fillId="0" borderId="0" xfId="0"/>
    <xf numFmtId="2" fontId="0" fillId="0" borderId="0" xfId="0" applyNumberFormat="1"/>
    <xf numFmtId="9" fontId="0" fillId="0" borderId="0" xfId="1" applyFont="1"/>
    <xf numFmtId="165" fontId="0" fillId="0" borderId="0" xfId="1" applyNumberFormat="1" applyFont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0" fillId="2" borderId="12" xfId="0" applyFill="1" applyBorder="1"/>
    <xf numFmtId="0" fontId="0" fillId="2" borderId="13" xfId="0" applyFill="1" applyBorder="1"/>
    <xf numFmtId="0" fontId="0" fillId="0" borderId="0" xfId="0" quotePrefix="1"/>
    <xf numFmtId="165" fontId="0" fillId="0" borderId="0" xfId="1" applyNumberFormat="1" applyFont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166" fontId="0" fillId="3" borderId="11" xfId="0" applyNumberFormat="1" applyFill="1" applyBorder="1" applyAlignment="1">
      <alignment horizontal="center"/>
    </xf>
    <xf numFmtId="2" fontId="0" fillId="3" borderId="2" xfId="0" applyNumberFormat="1" applyFill="1" applyBorder="1" applyAlignment="1">
      <alignment horizontal="center"/>
    </xf>
    <xf numFmtId="2" fontId="0" fillId="3" borderId="3" xfId="0" applyNumberFormat="1" applyFill="1" applyBorder="1" applyAlignment="1">
      <alignment horizontal="center"/>
    </xf>
    <xf numFmtId="2" fontId="0" fillId="3" borderId="4" xfId="0" applyNumberFormat="1" applyFill="1" applyBorder="1" applyAlignment="1">
      <alignment horizontal="center"/>
    </xf>
    <xf numFmtId="2" fontId="0" fillId="3" borderId="5" xfId="0" applyNumberFormat="1" applyFill="1" applyBorder="1" applyAlignment="1">
      <alignment horizontal="center"/>
    </xf>
    <xf numFmtId="2" fontId="0" fillId="3" borderId="6" xfId="0" applyNumberFormat="1" applyFill="1" applyBorder="1" applyAlignment="1">
      <alignment horizontal="center"/>
    </xf>
    <xf numFmtId="2" fontId="0" fillId="3" borderId="8" xfId="0" applyNumberFormat="1" applyFill="1" applyBorder="1" applyAlignment="1">
      <alignment horizontal="center"/>
    </xf>
    <xf numFmtId="2" fontId="0" fillId="3" borderId="10" xfId="0" applyNumberFormat="1" applyFill="1" applyBorder="1" applyAlignment="1">
      <alignment horizontal="center"/>
    </xf>
    <xf numFmtId="2" fontId="0" fillId="3" borderId="11" xfId="0" applyNumberFormat="1" applyFill="1" applyBorder="1" applyAlignment="1">
      <alignment horizontal="center"/>
    </xf>
    <xf numFmtId="164" fontId="0" fillId="3" borderId="4" xfId="0" applyNumberFormat="1" applyFill="1" applyBorder="1" applyAlignment="1">
      <alignment horizontal="center"/>
    </xf>
    <xf numFmtId="164" fontId="0" fillId="3" borderId="0" xfId="0" applyNumberFormat="1" applyFill="1" applyAlignment="1">
      <alignment horizontal="center"/>
    </xf>
    <xf numFmtId="0" fontId="0" fillId="3" borderId="5" xfId="0" applyFill="1" applyBorder="1" applyAlignment="1">
      <alignment horizontal="center"/>
    </xf>
    <xf numFmtId="164" fontId="0" fillId="3" borderId="6" xfId="0" applyNumberFormat="1" applyFill="1" applyBorder="1" applyAlignment="1">
      <alignment horizontal="center"/>
    </xf>
    <xf numFmtId="164" fontId="0" fillId="3" borderId="7" xfId="0" applyNumberFormat="1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1" fontId="0" fillId="3" borderId="4" xfId="0" applyNumberFormat="1" applyFill="1" applyBorder="1" applyAlignment="1">
      <alignment horizontal="center"/>
    </xf>
    <xf numFmtId="1" fontId="0" fillId="3" borderId="5" xfId="0" applyNumberFormat="1" applyFill="1" applyBorder="1" applyAlignment="1">
      <alignment horizontal="center"/>
    </xf>
    <xf numFmtId="1" fontId="0" fillId="3" borderId="6" xfId="0" applyNumberFormat="1" applyFill="1" applyBorder="1" applyAlignment="1">
      <alignment horizontal="center"/>
    </xf>
    <xf numFmtId="1" fontId="0" fillId="3" borderId="8" xfId="0" applyNumberFormat="1" applyFill="1" applyBorder="1" applyAlignment="1">
      <alignment horizontal="center"/>
    </xf>
    <xf numFmtId="164" fontId="0" fillId="3" borderId="0" xfId="0" applyNumberFormat="1" applyFill="1"/>
    <xf numFmtId="2" fontId="0" fillId="3" borderId="0" xfId="1" applyNumberFormat="1" applyFont="1" applyFill="1"/>
    <xf numFmtId="2" fontId="0" fillId="3" borderId="0" xfId="0" applyNumberFormat="1" applyFill="1"/>
    <xf numFmtId="0" fontId="0" fillId="3" borderId="1" xfId="0" applyFill="1" applyBorder="1"/>
    <xf numFmtId="166" fontId="0" fillId="3" borderId="10" xfId="0" applyNumberFormat="1" applyFill="1" applyBorder="1" applyAlignment="1">
      <alignment horizontal="center"/>
    </xf>
    <xf numFmtId="1" fontId="0" fillId="3" borderId="11" xfId="0" applyNumberFormat="1" applyFill="1" applyBorder="1" applyAlignment="1">
      <alignment horizontal="center"/>
    </xf>
    <xf numFmtId="2" fontId="0" fillId="3" borderId="9" xfId="0" applyNumberFormat="1" applyFill="1" applyBorder="1" applyAlignment="1">
      <alignment horizontal="center"/>
    </xf>
    <xf numFmtId="165" fontId="0" fillId="3" borderId="11" xfId="1" applyNumberFormat="1" applyFont="1" applyFill="1" applyBorder="1" applyAlignment="1">
      <alignment horizontal="center"/>
    </xf>
    <xf numFmtId="0" fontId="3" fillId="0" borderId="0" xfId="2"/>
    <xf numFmtId="165" fontId="0" fillId="0" borderId="0" xfId="0" applyNumberFormat="1" applyAlignment="1">
      <alignment horizontal="left"/>
    </xf>
    <xf numFmtId="165" fontId="0" fillId="3" borderId="10" xfId="1" applyNumberFormat="1" applyFont="1" applyFill="1" applyBorder="1" applyAlignment="1">
      <alignment horizontal="center"/>
    </xf>
    <xf numFmtId="166" fontId="0" fillId="0" borderId="9" xfId="0" applyNumberFormat="1" applyBorder="1" applyAlignment="1">
      <alignment horizontal="center"/>
    </xf>
    <xf numFmtId="2" fontId="0" fillId="3" borderId="10" xfId="1" applyNumberFormat="1" applyFont="1" applyFill="1" applyBorder="1" applyAlignment="1">
      <alignment horizontal="center"/>
    </xf>
    <xf numFmtId="2" fontId="0" fillId="3" borderId="11" xfId="1" applyNumberFormat="1" applyFont="1" applyFill="1" applyBorder="1" applyAlignment="1">
      <alignment horizontal="center"/>
    </xf>
    <xf numFmtId="1" fontId="0" fillId="0" borderId="10" xfId="1" applyNumberFormat="1" applyFont="1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</cellXfs>
  <cellStyles count="3">
    <cellStyle name="Hyperlink" xfId="2" builtinId="8"/>
    <cellStyle name="Normal" xfId="0" builtinId="0"/>
    <cellStyle name="Percent" xfId="1" builtinId="5"/>
  </cellStyles>
  <dxfs count="0"/>
  <tableStyles count="0" defaultTableStyle="TableStyleMedium2" defaultPivotStyle="PivotStyleLight16"/>
  <colors>
    <mruColors>
      <color rgb="FFBABA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Front of Car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'CG and Roll'!$H$10</c:f>
              <c:strCache>
                <c:ptCount val="1"/>
                <c:pt idx="0">
                  <c:v>FL wheel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square"/>
            <c:size val="30"/>
            <c:spPr>
              <a:solidFill>
                <a:schemeClr val="tx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'CG and Roll'!$I$10</c:f>
              <c:numCache>
                <c:formatCode>0.00</c:formatCode>
                <c:ptCount val="1"/>
                <c:pt idx="0">
                  <c:v>29.88188976377953</c:v>
                </c:pt>
              </c:numCache>
            </c:numRef>
          </c:xVal>
          <c:yVal>
            <c:numRef>
              <c:f>'CG and Roll'!$J$10</c:f>
              <c:numCache>
                <c:formatCode>0.00</c:formatCode>
                <c:ptCount val="1"/>
                <c:pt idx="0">
                  <c:v>53.759842519685044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0A4-F94E-A1C0-55ACE5AD2A44}"/>
            </c:ext>
          </c:extLst>
        </c:ser>
        <c:ser>
          <c:idx val="3"/>
          <c:order val="1"/>
          <c:tx>
            <c:strRef>
              <c:f>'CG and Roll'!$H$11</c:f>
              <c:strCache>
                <c:ptCount val="1"/>
                <c:pt idx="0">
                  <c:v>RL wheel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square"/>
            <c:size val="30"/>
            <c:spPr>
              <a:solidFill>
                <a:schemeClr val="tx1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'CG and Roll'!$I$11</c:f>
              <c:numCache>
                <c:formatCode>0.00</c:formatCode>
                <c:ptCount val="1"/>
                <c:pt idx="0">
                  <c:v>29.23228346456693</c:v>
                </c:pt>
              </c:numCache>
            </c:numRef>
          </c:xVal>
          <c:yVal>
            <c:numRef>
              <c:f>'CG and Roll'!$J$11</c:f>
              <c:numCache>
                <c:formatCode>0.00</c:formatCode>
                <c:ptCount val="1"/>
                <c:pt idx="0">
                  <c:v>-53.759842519685044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00A4-F94E-A1C0-55ACE5AD2A44}"/>
            </c:ext>
          </c:extLst>
        </c:ser>
        <c:ser>
          <c:idx val="1"/>
          <c:order val="2"/>
          <c:tx>
            <c:strRef>
              <c:f>'CG and Roll'!$H$12</c:f>
              <c:strCache>
                <c:ptCount val="1"/>
                <c:pt idx="0">
                  <c:v>FR wheel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square"/>
            <c:size val="30"/>
            <c:spPr>
              <a:solidFill>
                <a:schemeClr val="tx1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'CG and Roll'!$I$12</c:f>
              <c:numCache>
                <c:formatCode>0.00</c:formatCode>
                <c:ptCount val="1"/>
                <c:pt idx="0">
                  <c:v>-29.88188976377953</c:v>
                </c:pt>
              </c:numCache>
            </c:numRef>
          </c:xVal>
          <c:yVal>
            <c:numRef>
              <c:f>'CG and Roll'!$J$12</c:f>
              <c:numCache>
                <c:formatCode>0.00</c:formatCode>
                <c:ptCount val="1"/>
                <c:pt idx="0">
                  <c:v>53.759842519685044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0A4-F94E-A1C0-55ACE5AD2A44}"/>
            </c:ext>
          </c:extLst>
        </c:ser>
        <c:ser>
          <c:idx val="2"/>
          <c:order val="3"/>
          <c:tx>
            <c:strRef>
              <c:f>'CG and Roll'!$H$13</c:f>
              <c:strCache>
                <c:ptCount val="1"/>
                <c:pt idx="0">
                  <c:v>RR wheel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square"/>
            <c:size val="30"/>
            <c:spPr>
              <a:solidFill>
                <a:schemeClr val="tx1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'CG and Roll'!$I$13</c:f>
              <c:numCache>
                <c:formatCode>0.00</c:formatCode>
                <c:ptCount val="1"/>
                <c:pt idx="0">
                  <c:v>-29.23228346456693</c:v>
                </c:pt>
              </c:numCache>
            </c:numRef>
          </c:xVal>
          <c:yVal>
            <c:numRef>
              <c:f>'CG and Roll'!$J$13</c:f>
              <c:numCache>
                <c:formatCode>0.00</c:formatCode>
                <c:ptCount val="1"/>
                <c:pt idx="0">
                  <c:v>-53.759842519685044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00A4-F94E-A1C0-55ACE5AD2A44}"/>
            </c:ext>
          </c:extLst>
        </c:ser>
        <c:ser>
          <c:idx val="4"/>
          <c:order val="4"/>
          <c:tx>
            <c:strRef>
              <c:f>'CG and Roll'!$B$21</c:f>
              <c:strCache>
                <c:ptCount val="1"/>
                <c:pt idx="0">
                  <c:v>e36 Washer tank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20"/>
            <c:spPr>
              <a:solidFill>
                <a:schemeClr val="accent5">
                  <a:alpha val="74864"/>
                </a:schemeClr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'CG and Roll'!$O$21</c:f>
              <c:numCache>
                <c:formatCode>General</c:formatCode>
                <c:ptCount val="1"/>
                <c:pt idx="0">
                  <c:v>24</c:v>
                </c:pt>
              </c:numCache>
            </c:numRef>
          </c:xVal>
          <c:yVal>
            <c:numRef>
              <c:f>'CG and Roll'!$E$21</c:f>
              <c:numCache>
                <c:formatCode>General</c:formatCode>
                <c:ptCount val="1"/>
                <c:pt idx="0">
                  <c:v>42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00A4-F94E-A1C0-55ACE5AD2A44}"/>
            </c:ext>
          </c:extLst>
        </c:ser>
        <c:ser>
          <c:idx val="5"/>
          <c:order val="5"/>
          <c:tx>
            <c:strRef>
              <c:f>'CG and Roll'!$B$23</c:f>
              <c:strCache>
                <c:ptCount val="1"/>
                <c:pt idx="0">
                  <c:v>Roof Rack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20"/>
            <c:spPr>
              <a:solidFill>
                <a:schemeClr val="accent6">
                  <a:alpha val="75000"/>
                </a:schemeClr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'CG and Roll'!$O$23</c:f>
              <c:numCache>
                <c:formatCode>General</c:formatCode>
                <c:ptCount val="1"/>
                <c:pt idx="0">
                  <c:v>0</c:v>
                </c:pt>
              </c:numCache>
            </c:numRef>
          </c:xVal>
          <c:yVal>
            <c:numRef>
              <c:f>'CG and Roll'!$E$23</c:f>
              <c:numCache>
                <c:formatCode>General</c:formatCode>
                <c:ptCount val="1"/>
                <c:pt idx="0">
                  <c:v>-36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00A4-F94E-A1C0-55ACE5AD2A44}"/>
            </c:ext>
          </c:extLst>
        </c:ser>
        <c:ser>
          <c:idx val="6"/>
          <c:order val="6"/>
          <c:tx>
            <c:strRef>
              <c:f>'CG and Roll'!$B$24</c:f>
              <c:strCache>
                <c:ptCount val="1"/>
                <c:pt idx="0">
                  <c:v>Spare Tire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20"/>
            <c:spPr>
              <a:solidFill>
                <a:schemeClr val="accent1">
                  <a:alpha val="75104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xVal>
            <c:numRef>
              <c:f>'CG and Roll'!$O$24</c:f>
              <c:numCache>
                <c:formatCode>General</c:formatCode>
                <c:ptCount val="1"/>
                <c:pt idx="0">
                  <c:v>1</c:v>
                </c:pt>
              </c:numCache>
            </c:numRef>
          </c:xVal>
          <c:yVal>
            <c:numRef>
              <c:f>'CG and Roll'!$E$24</c:f>
              <c:numCache>
                <c:formatCode>General</c:formatCode>
                <c:ptCount val="1"/>
                <c:pt idx="0">
                  <c:v>-74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00A4-F94E-A1C0-55ACE5AD2A44}"/>
            </c:ext>
          </c:extLst>
        </c:ser>
        <c:ser>
          <c:idx val="17"/>
          <c:order val="7"/>
          <c:tx>
            <c:strRef>
              <c:f>'CG and Roll'!$B$25</c:f>
              <c:strCache>
                <c:ptCount val="1"/>
                <c:pt idx="0">
                  <c:v>Trunk stuff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80000"/>
                  <a:lumOff val="20000"/>
                </a:schemeClr>
              </a:solidFill>
              <a:ln w="9525">
                <a:solidFill>
                  <a:schemeClr val="accent6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numRef>
              <c:f>'CG and Roll'!$O$25</c:f>
              <c:numCache>
                <c:formatCode>General</c:formatCode>
                <c:ptCount val="1"/>
                <c:pt idx="0">
                  <c:v>1</c:v>
                </c:pt>
              </c:numCache>
            </c:numRef>
          </c:xVal>
          <c:yVal>
            <c:numRef>
              <c:f>'CG and Roll'!$E$25</c:f>
              <c:numCache>
                <c:formatCode>General</c:formatCode>
                <c:ptCount val="1"/>
                <c:pt idx="0">
                  <c:v>-74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5C40-CC46-98E0-D529C4C5D4E8}"/>
            </c:ext>
          </c:extLst>
        </c:ser>
        <c:ser>
          <c:idx val="7"/>
          <c:order val="8"/>
          <c:tx>
            <c:strRef>
              <c:f>'CG and Roll'!$B$26</c:f>
              <c:strCache>
                <c:ptCount val="1"/>
                <c:pt idx="0">
                  <c:v>Windsheild cowl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20"/>
            <c:spPr>
              <a:solidFill>
                <a:schemeClr val="accent2">
                  <a:lumMod val="50000"/>
                  <a:alpha val="74976"/>
                </a:schemeClr>
              </a:solidFill>
              <a:ln w="9525">
                <a:solidFill>
                  <a:schemeClr val="accent2">
                    <a:lumMod val="60000"/>
                  </a:schemeClr>
                </a:solidFill>
              </a:ln>
              <a:effectLst/>
            </c:spPr>
          </c:marker>
          <c:xVal>
            <c:numRef>
              <c:f>'CG and Roll'!$O$26</c:f>
              <c:numCache>
                <c:formatCode>General</c:formatCode>
                <c:ptCount val="1"/>
                <c:pt idx="0">
                  <c:v>0</c:v>
                </c:pt>
              </c:numCache>
            </c:numRef>
          </c:xVal>
          <c:yVal>
            <c:numRef>
              <c:f>'CG and Roll'!$E$26</c:f>
              <c:numCache>
                <c:formatCode>General</c:formatCode>
                <c:ptCount val="1"/>
                <c:pt idx="0">
                  <c:v>42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00A4-F94E-A1C0-55ACE5AD2A44}"/>
            </c:ext>
          </c:extLst>
        </c:ser>
        <c:ser>
          <c:idx val="8"/>
          <c:order val="9"/>
          <c:tx>
            <c:strRef>
              <c:f>'CG and Roll'!$B$27</c:f>
              <c:strCache>
                <c:ptCount val="1"/>
                <c:pt idx="0">
                  <c:v>Muffler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20"/>
            <c:spPr>
              <a:solidFill>
                <a:schemeClr val="accent2">
                  <a:alpha val="75000"/>
                </a:schemeClr>
              </a:solidFill>
              <a:ln w="9525">
                <a:solidFill>
                  <a:schemeClr val="accent3">
                    <a:lumMod val="60000"/>
                  </a:schemeClr>
                </a:solidFill>
              </a:ln>
              <a:effectLst/>
            </c:spPr>
          </c:marker>
          <c:xVal>
            <c:numRef>
              <c:f>'CG and Roll'!$O$27</c:f>
              <c:numCache>
                <c:formatCode>General</c:formatCode>
                <c:ptCount val="1"/>
                <c:pt idx="0">
                  <c:v>-22</c:v>
                </c:pt>
              </c:numCache>
            </c:numRef>
          </c:xVal>
          <c:yVal>
            <c:numRef>
              <c:f>'CG and Roll'!$E$27</c:f>
              <c:numCache>
                <c:formatCode>General</c:formatCode>
                <c:ptCount val="1"/>
                <c:pt idx="0">
                  <c:v>-76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C-00A4-F94E-A1C0-55ACE5AD2A44}"/>
            </c:ext>
          </c:extLst>
        </c:ser>
        <c:ser>
          <c:idx val="9"/>
          <c:order val="10"/>
          <c:tx>
            <c:strRef>
              <c:f>'CG and Roll'!$B$28</c:f>
              <c:strCache>
                <c:ptCount val="1"/>
                <c:pt idx="0">
                  <c:v>Battery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20"/>
            <c:spPr>
              <a:solidFill>
                <a:schemeClr val="accent4">
                  <a:alpha val="74577"/>
                </a:schemeClr>
              </a:solidFill>
              <a:ln w="9525">
                <a:solidFill>
                  <a:schemeClr val="accent4">
                    <a:lumMod val="60000"/>
                  </a:schemeClr>
                </a:solidFill>
              </a:ln>
              <a:effectLst/>
            </c:spPr>
          </c:marker>
          <c:xVal>
            <c:numRef>
              <c:f>'CG and Roll'!$O$28</c:f>
              <c:numCache>
                <c:formatCode>General</c:formatCode>
                <c:ptCount val="1"/>
                <c:pt idx="0">
                  <c:v>24</c:v>
                </c:pt>
              </c:numCache>
            </c:numRef>
          </c:xVal>
          <c:yVal>
            <c:numRef>
              <c:f>'CG and Roll'!$E$28</c:f>
              <c:numCache>
                <c:formatCode>General</c:formatCode>
                <c:ptCount val="1"/>
                <c:pt idx="0">
                  <c:v>-76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D-00A4-F94E-A1C0-55ACE5AD2A44}"/>
            </c:ext>
          </c:extLst>
        </c:ser>
        <c:ser>
          <c:idx val="12"/>
          <c:order val="11"/>
          <c:tx>
            <c:strRef>
              <c:f>'CG and Roll'!$B$29</c:f>
              <c:strCache>
                <c:ptCount val="1"/>
                <c:pt idx="0">
                  <c:v>Hitch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20"/>
            <c:spPr>
              <a:solidFill>
                <a:schemeClr val="bg2">
                  <a:lumMod val="75000"/>
                  <a:alpha val="75000"/>
                </a:schemeClr>
              </a:solidFill>
              <a:ln w="9525">
                <a:solidFill>
                  <a:schemeClr val="bg2">
                    <a:lumMod val="75000"/>
                  </a:schemeClr>
                </a:solidFill>
              </a:ln>
              <a:effectLst/>
            </c:spPr>
          </c:marker>
          <c:xVal>
            <c:numRef>
              <c:f>'CG and Roll'!$O$29</c:f>
              <c:numCache>
                <c:formatCode>General</c:formatCode>
                <c:ptCount val="1"/>
                <c:pt idx="0">
                  <c:v>0</c:v>
                </c:pt>
              </c:numCache>
            </c:numRef>
          </c:xVal>
          <c:yVal>
            <c:numRef>
              <c:f>'CG and Roll'!$E$29</c:f>
              <c:numCache>
                <c:formatCode>General</c:formatCode>
                <c:ptCount val="1"/>
                <c:pt idx="0">
                  <c:v>-90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C40-CC46-98E0-D529C4C5D4E8}"/>
            </c:ext>
          </c:extLst>
        </c:ser>
        <c:ser>
          <c:idx val="13"/>
          <c:order val="12"/>
          <c:tx>
            <c:strRef>
              <c:f>'CG and Roll'!$B$30</c:f>
              <c:strCache>
                <c:ptCount val="1"/>
                <c:pt idx="0">
                  <c:v>V-brace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80000"/>
                  <a:lumOff val="20000"/>
                </a:schemeClr>
              </a:solidFill>
              <a:ln w="9525">
                <a:solidFill>
                  <a:schemeClr val="accent2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numRef>
              <c:f>'CG and Roll'!$O$30</c:f>
              <c:numCache>
                <c:formatCode>General</c:formatCode>
                <c:ptCount val="1"/>
                <c:pt idx="0">
                  <c:v>0</c:v>
                </c:pt>
              </c:numCache>
            </c:numRef>
          </c:xVal>
          <c:yVal>
            <c:numRef>
              <c:f>'CG and Roll'!$E$30</c:f>
              <c:numCache>
                <c:formatCode>General</c:formatCode>
                <c:ptCount val="1"/>
                <c:pt idx="0">
                  <c:v>-42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5C40-CC46-98E0-D529C4C5D4E8}"/>
            </c:ext>
          </c:extLst>
        </c:ser>
        <c:ser>
          <c:idx val="14"/>
          <c:order val="13"/>
          <c:tx>
            <c:strRef>
              <c:f>'CG and Roll'!$B$31</c:f>
              <c:strCache>
                <c:ptCount val="1"/>
                <c:pt idx="0">
                  <c:v>Vincebar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80000"/>
                  <a:lumOff val="20000"/>
                </a:schemeClr>
              </a:solidFill>
              <a:ln w="9525">
                <a:solidFill>
                  <a:schemeClr val="accent3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numRef>
              <c:f>'CG and Roll'!$O$31</c:f>
              <c:numCache>
                <c:formatCode>General</c:formatCode>
                <c:ptCount val="1"/>
                <c:pt idx="0">
                  <c:v>0</c:v>
                </c:pt>
              </c:numCache>
            </c:numRef>
          </c:xVal>
          <c:yVal>
            <c:numRef>
              <c:f>'CG and Roll'!$E$31</c:f>
              <c:numCache>
                <c:formatCode>General</c:formatCode>
                <c:ptCount val="1"/>
                <c:pt idx="0">
                  <c:v>-58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5C40-CC46-98E0-D529C4C5D4E8}"/>
            </c:ext>
          </c:extLst>
        </c:ser>
        <c:ser>
          <c:idx val="15"/>
          <c:order val="14"/>
          <c:tx>
            <c:strRef>
              <c:f>'CG and Roll'!$B$32</c:f>
              <c:strCache>
                <c:ptCount val="1"/>
                <c:pt idx="0">
                  <c:v>Hotchkis front bar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80000"/>
                  <a:lumOff val="20000"/>
                </a:schemeClr>
              </a:solidFill>
              <a:ln w="9525">
                <a:solidFill>
                  <a:schemeClr val="accent4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numRef>
              <c:f>'CG and Roll'!$O$32</c:f>
              <c:numCache>
                <c:formatCode>General</c:formatCode>
                <c:ptCount val="1"/>
                <c:pt idx="0">
                  <c:v>0</c:v>
                </c:pt>
              </c:numCache>
            </c:numRef>
          </c:xVal>
          <c:yVal>
            <c:numRef>
              <c:f>'CG and Roll'!$E$32</c:f>
              <c:numCache>
                <c:formatCode>General</c:formatCode>
                <c:ptCount val="1"/>
                <c:pt idx="0">
                  <c:v>61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5C40-CC46-98E0-D529C4C5D4E8}"/>
            </c:ext>
          </c:extLst>
        </c:ser>
        <c:ser>
          <c:idx val="16"/>
          <c:order val="15"/>
          <c:tx>
            <c:strRef>
              <c:f>'CG and Roll'!$B$33</c:f>
              <c:strCache>
                <c:ptCount val="1"/>
                <c:pt idx="0">
                  <c:v>Fuel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80000"/>
                  <a:lumOff val="20000"/>
                </a:schemeClr>
              </a:solidFill>
              <a:ln w="9525">
                <a:solidFill>
                  <a:schemeClr val="accent5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numRef>
              <c:f>'CG and Roll'!$O$33</c:f>
              <c:numCache>
                <c:formatCode>General</c:formatCode>
                <c:ptCount val="1"/>
                <c:pt idx="0">
                  <c:v>0</c:v>
                </c:pt>
              </c:numCache>
            </c:numRef>
          </c:xVal>
          <c:yVal>
            <c:numRef>
              <c:f>'CG and Roll'!$E$33</c:f>
              <c:numCache>
                <c:formatCode>General</c:formatCode>
                <c:ptCount val="1"/>
                <c:pt idx="0">
                  <c:v>-36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5C40-CC46-98E0-D529C4C5D4E8}"/>
            </c:ext>
          </c:extLst>
        </c:ser>
        <c:ser>
          <c:idx val="10"/>
          <c:order val="16"/>
          <c:tx>
            <c:strRef>
              <c:f>'CG and Roll'!$B$45</c:f>
              <c:strCache>
                <c:ptCount val="1"/>
                <c:pt idx="0">
                  <c:v>X-Y center mass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x"/>
            <c:size val="20"/>
            <c:spPr>
              <a:noFill/>
              <a:ln w="9525">
                <a:solidFill>
                  <a:schemeClr val="accent5">
                    <a:lumMod val="60000"/>
                  </a:schemeClr>
                </a:solidFill>
              </a:ln>
              <a:effectLst/>
            </c:spPr>
          </c:marker>
          <c:dPt>
            <c:idx val="0"/>
            <c:marker>
              <c:symbol val="x"/>
              <c:size val="20"/>
              <c:spPr>
                <a:noFill/>
                <a:ln w="9525">
                  <a:solidFill>
                    <a:schemeClr val="accent5">
                      <a:lumMod val="60000"/>
                    </a:schemeClr>
                  </a:solidFill>
                </a:ln>
                <a:effectLst/>
              </c:spPr>
            </c:marker>
            <c:bubble3D val="0"/>
            <c:spPr>
              <a:ln w="25400" cap="rnd">
                <a:noFill/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E3FA-904D-BF82-CBCABADB0209}"/>
              </c:ext>
            </c:extLst>
          </c:dPt>
          <c:xVal>
            <c:numRef>
              <c:f>'CG and Roll'!$O$45</c:f>
              <c:numCache>
                <c:formatCode>General</c:formatCode>
                <c:ptCount val="1"/>
                <c:pt idx="0">
                  <c:v>-0.63798295760975077</c:v>
                </c:pt>
              </c:numCache>
            </c:numRef>
          </c:xVal>
          <c:yVal>
            <c:numRef>
              <c:f>'CG and Roll'!$D$45</c:f>
              <c:numCache>
                <c:formatCode>0.000</c:formatCode>
                <c:ptCount val="1"/>
                <c:pt idx="0">
                  <c:v>-0.76608564340416385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E-00A4-F94E-A1C0-55ACE5AD2A44}"/>
            </c:ext>
          </c:extLst>
        </c:ser>
        <c:ser>
          <c:idx val="11"/>
          <c:order val="17"/>
          <c:tx>
            <c:strRef>
              <c:f>'CG and Roll'!$B$45</c:f>
              <c:strCache>
                <c:ptCount val="1"/>
                <c:pt idx="0">
                  <c:v>X-Y center mass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28"/>
            <c:spPr>
              <a:solidFill>
                <a:schemeClr val="tx1">
                  <a:alpha val="10033"/>
                </a:schemeClr>
              </a:solidFill>
              <a:ln w="9525">
                <a:solidFill>
                  <a:schemeClr val="accent6">
                    <a:lumMod val="60000"/>
                  </a:schemeClr>
                </a:solidFill>
              </a:ln>
              <a:effectLst/>
            </c:spPr>
          </c:marker>
          <c:xVal>
            <c:numRef>
              <c:f>'CG and Roll'!$O$45</c:f>
              <c:numCache>
                <c:formatCode>General</c:formatCode>
                <c:ptCount val="1"/>
                <c:pt idx="0">
                  <c:v>-0.63798295760975077</c:v>
                </c:pt>
              </c:numCache>
            </c:numRef>
          </c:xVal>
          <c:yVal>
            <c:numRef>
              <c:f>'CG and Roll'!$D$45</c:f>
              <c:numCache>
                <c:formatCode>0.000</c:formatCode>
                <c:ptCount val="1"/>
                <c:pt idx="0">
                  <c:v>-0.76608564340416385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F-00A4-F94E-A1C0-55ACE5AD2A44}"/>
            </c:ext>
          </c:extLst>
        </c:ser>
        <c:ser>
          <c:idx val="18"/>
          <c:order val="18"/>
          <c:tx>
            <c:strRef>
              <c:f>'CG and Roll'!$B$22</c:f>
              <c:strCache>
                <c:ptCount val="1"/>
                <c:pt idx="0">
                  <c:v>M3 Washer tank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80000"/>
                </a:schemeClr>
              </a:solidFill>
              <a:ln w="9525">
                <a:solidFill>
                  <a:schemeClr val="accent1">
                    <a:lumMod val="80000"/>
                  </a:schemeClr>
                </a:solidFill>
              </a:ln>
              <a:effectLst/>
            </c:spPr>
          </c:marker>
          <c:xVal>
            <c:numRef>
              <c:f>'CG and Roll'!$O$22</c:f>
              <c:numCache>
                <c:formatCode>General</c:formatCode>
                <c:ptCount val="1"/>
                <c:pt idx="0">
                  <c:v>26</c:v>
                </c:pt>
              </c:numCache>
            </c:numRef>
          </c:xVal>
          <c:yVal>
            <c:numRef>
              <c:f>'CG and Roll'!$E$22</c:f>
              <c:numCache>
                <c:formatCode>General</c:formatCode>
                <c:ptCount val="1"/>
                <c:pt idx="0">
                  <c:v>68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E3FA-904D-BF82-CBCABADB020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36636960"/>
        <c:axId val="1436638608"/>
      </c:scatterChart>
      <c:valAx>
        <c:axId val="1436636960"/>
        <c:scaling>
          <c:orientation val="minMax"/>
        </c:scaling>
        <c:delete val="0"/>
        <c:axPos val="b"/>
        <c:numFmt formatCode="0.00" sourceLinked="1"/>
        <c:majorTickMark val="none"/>
        <c:minorTickMark val="none"/>
        <c:tickLblPos val="nextTo"/>
        <c:spPr>
          <a:noFill/>
          <a:ln w="254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  <a:alpha val="74769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36638608"/>
        <c:crosses val="autoZero"/>
        <c:crossBetween val="midCat"/>
        <c:majorUnit val="12"/>
      </c:valAx>
      <c:valAx>
        <c:axId val="1436638608"/>
        <c:scaling>
          <c:orientation val="minMax"/>
          <c:max val="82"/>
          <c:min val="-94"/>
        </c:scaling>
        <c:delete val="0"/>
        <c:axPos val="l"/>
        <c:numFmt formatCode="0.00" sourceLinked="1"/>
        <c:majorTickMark val="none"/>
        <c:minorTickMark val="none"/>
        <c:tickLblPos val="nextTo"/>
        <c:spPr>
          <a:noFill/>
          <a:ln w="254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  <a:alpha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36636960"/>
        <c:crosses val="autoZero"/>
        <c:crossBetween val="midCat"/>
        <c:majorUnit val="12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Front Camber</a:t>
            </a:r>
            <a:r>
              <a:rPr lang="en-US" baseline="0"/>
              <a:t> and Roll </a:t>
            </a:r>
            <a:r>
              <a:rPr lang="en-US"/>
              <a:t>Changes with Ride Height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3"/>
          <c:order val="1"/>
          <c:tx>
            <c:strRef>
              <c:f>'Roll Center Heights'!$E$4</c:f>
              <c:strCache>
                <c:ptCount val="1"/>
                <c:pt idx="0">
                  <c:v>Front Camber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'Roll Center Heights'!$A$5:$A$10</c:f>
              <c:strCache>
                <c:ptCount val="6"/>
                <c:pt idx="0">
                  <c:v>+ 1"</c:v>
                </c:pt>
                <c:pt idx="1">
                  <c:v>+ .5"</c:v>
                </c:pt>
                <c:pt idx="2">
                  <c:v>'Stock'</c:v>
                </c:pt>
                <c:pt idx="3">
                  <c:v>- .5"</c:v>
                </c:pt>
                <c:pt idx="4">
                  <c:v>- 1"</c:v>
                </c:pt>
                <c:pt idx="5">
                  <c:v>- 1.5"</c:v>
                </c:pt>
              </c:strCache>
            </c:strRef>
          </c:cat>
          <c:val>
            <c:numRef>
              <c:f>'Roll Center Heights'!$E$5:$E$10</c:f>
              <c:numCache>
                <c:formatCode>General</c:formatCode>
                <c:ptCount val="6"/>
                <c:pt idx="0">
                  <c:v>-1.94</c:v>
                </c:pt>
                <c:pt idx="1">
                  <c:v>-2.23</c:v>
                </c:pt>
                <c:pt idx="2">
                  <c:v>-2.5</c:v>
                </c:pt>
                <c:pt idx="3">
                  <c:v>-2.74</c:v>
                </c:pt>
                <c:pt idx="4">
                  <c:v>-2.96</c:v>
                </c:pt>
                <c:pt idx="5">
                  <c:v>-3.14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D461-A74F-9BA2-68149A62F2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12079"/>
        <c:axId val="1815469648"/>
      </c:lineChart>
      <c:lineChart>
        <c:grouping val="standard"/>
        <c:varyColors val="0"/>
        <c:ser>
          <c:idx val="2"/>
          <c:order val="0"/>
          <c:tx>
            <c:strRef>
              <c:f>'Roll Center Heights'!$D$4</c:f>
              <c:strCache>
                <c:ptCount val="1"/>
                <c:pt idx="0">
                  <c:v>Roll Moment Change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'Roll Center Heights'!$A$5:$A$10</c:f>
              <c:strCache>
                <c:ptCount val="6"/>
                <c:pt idx="0">
                  <c:v>+ 1"</c:v>
                </c:pt>
                <c:pt idx="1">
                  <c:v>+ .5"</c:v>
                </c:pt>
                <c:pt idx="2">
                  <c:v>'Stock'</c:v>
                </c:pt>
                <c:pt idx="3">
                  <c:v>- .5"</c:v>
                </c:pt>
                <c:pt idx="4">
                  <c:v>- 1"</c:v>
                </c:pt>
                <c:pt idx="5">
                  <c:v>- 1.5"</c:v>
                </c:pt>
              </c:strCache>
            </c:strRef>
          </c:cat>
          <c:val>
            <c:numRef>
              <c:f>'Roll Center Heights'!$D$5:$D$10</c:f>
              <c:numCache>
                <c:formatCode>0%</c:formatCode>
                <c:ptCount val="6"/>
                <c:pt idx="0">
                  <c:v>-0.11722990484718632</c:v>
                </c:pt>
                <c:pt idx="1">
                  <c:v>-5.9078923023252128E-2</c:v>
                </c:pt>
                <c:pt idx="2">
                  <c:v>0</c:v>
                </c:pt>
                <c:pt idx="3">
                  <c:v>6.0171831546893539E-2</c:v>
                </c:pt>
                <c:pt idx="4">
                  <c:v>0.12166340168837286</c:v>
                </c:pt>
                <c:pt idx="5">
                  <c:v>0.18476340324200335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461-A74F-9BA2-68149A62F2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5786943"/>
        <c:axId val="355493535"/>
      </c:lineChart>
      <c:catAx>
        <c:axId val="401207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15469648"/>
        <c:crosses val="autoZero"/>
        <c:auto val="1"/>
        <c:lblAlgn val="ctr"/>
        <c:lblOffset val="100"/>
        <c:noMultiLvlLbl val="0"/>
      </c:catAx>
      <c:valAx>
        <c:axId val="1815469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12079"/>
        <c:crosses val="autoZero"/>
        <c:crossBetween val="between"/>
      </c:valAx>
      <c:valAx>
        <c:axId val="355493535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5786943"/>
        <c:crosses val="max"/>
        <c:crossBetween val="between"/>
      </c:valAx>
      <c:catAx>
        <c:axId val="35578694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355493535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Front Camber &amp;</a:t>
            </a:r>
            <a:r>
              <a:rPr lang="en-US" baseline="0"/>
              <a:t> Track </a:t>
            </a:r>
            <a:r>
              <a:rPr lang="en-US"/>
              <a:t>Changes with Ride Height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3"/>
          <c:order val="0"/>
          <c:tx>
            <c:strRef>
              <c:f>'Roll Center Heights'!$E$4</c:f>
              <c:strCache>
                <c:ptCount val="1"/>
                <c:pt idx="0">
                  <c:v>Front Camber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'Roll Center Heights'!$A$5:$A$10</c:f>
              <c:strCache>
                <c:ptCount val="6"/>
                <c:pt idx="0">
                  <c:v>+ 1"</c:v>
                </c:pt>
                <c:pt idx="1">
                  <c:v>+ .5"</c:v>
                </c:pt>
                <c:pt idx="2">
                  <c:v>'Stock'</c:v>
                </c:pt>
                <c:pt idx="3">
                  <c:v>- .5"</c:v>
                </c:pt>
                <c:pt idx="4">
                  <c:v>- 1"</c:v>
                </c:pt>
                <c:pt idx="5">
                  <c:v>- 1.5"</c:v>
                </c:pt>
              </c:strCache>
            </c:strRef>
          </c:cat>
          <c:val>
            <c:numRef>
              <c:f>'Roll Center Heights'!$E$5:$E$10</c:f>
              <c:numCache>
                <c:formatCode>General</c:formatCode>
                <c:ptCount val="6"/>
                <c:pt idx="0">
                  <c:v>-1.94</c:v>
                </c:pt>
                <c:pt idx="1">
                  <c:v>-2.23</c:v>
                </c:pt>
                <c:pt idx="2">
                  <c:v>-2.5</c:v>
                </c:pt>
                <c:pt idx="3">
                  <c:v>-2.74</c:v>
                </c:pt>
                <c:pt idx="4">
                  <c:v>-2.96</c:v>
                </c:pt>
                <c:pt idx="5">
                  <c:v>-3.14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3CF-DF4E-B3E9-688A4157AB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12079"/>
        <c:axId val="1815469648"/>
      </c:lineChart>
      <c:lineChart>
        <c:grouping val="standard"/>
        <c:varyColors val="0"/>
        <c:ser>
          <c:idx val="4"/>
          <c:order val="1"/>
          <c:tx>
            <c:strRef>
              <c:f>'Roll Center Heights'!$F$4</c:f>
              <c:strCache>
                <c:ptCount val="1"/>
                <c:pt idx="0">
                  <c:v>Front Track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'Roll Center Heights'!$A$5:$A$10</c:f>
              <c:strCache>
                <c:ptCount val="6"/>
                <c:pt idx="0">
                  <c:v>+ 1"</c:v>
                </c:pt>
                <c:pt idx="1">
                  <c:v>+ .5"</c:v>
                </c:pt>
                <c:pt idx="2">
                  <c:v>'Stock'</c:v>
                </c:pt>
                <c:pt idx="3">
                  <c:v>- .5"</c:v>
                </c:pt>
                <c:pt idx="4">
                  <c:v>- 1"</c:v>
                </c:pt>
                <c:pt idx="5">
                  <c:v>- 1.5"</c:v>
                </c:pt>
              </c:strCache>
            </c:strRef>
          </c:cat>
          <c:val>
            <c:numRef>
              <c:f>'Roll Center Heights'!$F$5:$F$10</c:f>
              <c:numCache>
                <c:formatCode>General</c:formatCode>
                <c:ptCount val="6"/>
                <c:pt idx="0">
                  <c:v>1505.4</c:v>
                </c:pt>
                <c:pt idx="1">
                  <c:v>1508.1</c:v>
                </c:pt>
                <c:pt idx="2">
                  <c:v>1509.9</c:v>
                </c:pt>
                <c:pt idx="3">
                  <c:v>1510.7</c:v>
                </c:pt>
                <c:pt idx="4">
                  <c:v>1510.6</c:v>
                </c:pt>
                <c:pt idx="5">
                  <c:v>1509.4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3CF-DF4E-B3E9-688A4157AB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33023408"/>
        <c:axId val="298643631"/>
      </c:lineChart>
      <c:catAx>
        <c:axId val="401207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15469648"/>
        <c:crosses val="autoZero"/>
        <c:auto val="1"/>
        <c:lblAlgn val="ctr"/>
        <c:lblOffset val="100"/>
        <c:noMultiLvlLbl val="0"/>
      </c:catAx>
      <c:valAx>
        <c:axId val="1815469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12079"/>
        <c:crosses val="autoZero"/>
        <c:crossBetween val="between"/>
      </c:valAx>
      <c:valAx>
        <c:axId val="298643631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3023408"/>
        <c:crosses val="max"/>
        <c:crossBetween val="between"/>
      </c:valAx>
      <c:catAx>
        <c:axId val="183302340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98643631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0" i="0" baseline="0">
                <a:effectLst/>
              </a:rPr>
              <a:t>Rear Camber &amp; Track Changes with Ride Height</a:t>
            </a:r>
            <a:endParaRPr lang="en-US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3"/>
          <c:order val="0"/>
          <c:tx>
            <c:strRef>
              <c:f>'Roll Center Heights'!$E$27</c:f>
              <c:strCache>
                <c:ptCount val="1"/>
                <c:pt idx="0">
                  <c:v>Rear Camber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'Roll Center Heights'!$A$28:$A$33</c:f>
              <c:strCache>
                <c:ptCount val="6"/>
                <c:pt idx="0">
                  <c:v>+ 1"</c:v>
                </c:pt>
                <c:pt idx="1">
                  <c:v>+ .5"</c:v>
                </c:pt>
                <c:pt idx="2">
                  <c:v>'Stock'</c:v>
                </c:pt>
                <c:pt idx="3">
                  <c:v>- .5"</c:v>
                </c:pt>
                <c:pt idx="4">
                  <c:v>- 1"</c:v>
                </c:pt>
                <c:pt idx="5">
                  <c:v>- 1.5"</c:v>
                </c:pt>
              </c:strCache>
            </c:strRef>
          </c:cat>
          <c:val>
            <c:numRef>
              <c:f>'Roll Center Heights'!$E$28:$E$33</c:f>
              <c:numCache>
                <c:formatCode>General</c:formatCode>
                <c:ptCount val="6"/>
                <c:pt idx="0">
                  <c:v>0.37</c:v>
                </c:pt>
                <c:pt idx="1">
                  <c:v>-0.52</c:v>
                </c:pt>
                <c:pt idx="2">
                  <c:v>-1.4</c:v>
                </c:pt>
                <c:pt idx="3">
                  <c:v>-2.2799999999999998</c:v>
                </c:pt>
                <c:pt idx="4">
                  <c:v>-3.15</c:v>
                </c:pt>
                <c:pt idx="5">
                  <c:v>-4.01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2FF5-9F4E-9B8B-D8CAE9C3F23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33743072"/>
        <c:axId val="268936975"/>
      </c:lineChart>
      <c:lineChart>
        <c:grouping val="standard"/>
        <c:varyColors val="0"/>
        <c:ser>
          <c:idx val="4"/>
          <c:order val="1"/>
          <c:tx>
            <c:strRef>
              <c:f>'Roll Center Heights'!$F$27</c:f>
              <c:strCache>
                <c:ptCount val="1"/>
                <c:pt idx="0">
                  <c:v>Rear Track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'Roll Center Heights'!$A$28:$A$33</c:f>
              <c:strCache>
                <c:ptCount val="6"/>
                <c:pt idx="0">
                  <c:v>+ 1"</c:v>
                </c:pt>
                <c:pt idx="1">
                  <c:v>+ .5"</c:v>
                </c:pt>
                <c:pt idx="2">
                  <c:v>'Stock'</c:v>
                </c:pt>
                <c:pt idx="3">
                  <c:v>- .5"</c:v>
                </c:pt>
                <c:pt idx="4">
                  <c:v>- 1"</c:v>
                </c:pt>
                <c:pt idx="5">
                  <c:v>- 1.5"</c:v>
                </c:pt>
              </c:strCache>
            </c:strRef>
          </c:cat>
          <c:val>
            <c:numRef>
              <c:f>'Roll Center Heights'!$F$28:$F$33</c:f>
              <c:numCache>
                <c:formatCode>General</c:formatCode>
                <c:ptCount val="6"/>
                <c:pt idx="0">
                  <c:v>1473.5</c:v>
                </c:pt>
                <c:pt idx="1">
                  <c:v>1484.1</c:v>
                </c:pt>
                <c:pt idx="2">
                  <c:v>1494</c:v>
                </c:pt>
                <c:pt idx="3">
                  <c:v>1503.3</c:v>
                </c:pt>
                <c:pt idx="4">
                  <c:v>1512.1</c:v>
                </c:pt>
                <c:pt idx="5">
                  <c:v>1520.2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2FF5-9F4E-9B8B-D8CAE9C3F23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8378767"/>
        <c:axId val="263365007"/>
      </c:lineChart>
      <c:catAx>
        <c:axId val="18337430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8936975"/>
        <c:crosses val="autoZero"/>
        <c:auto val="1"/>
        <c:lblAlgn val="ctr"/>
        <c:lblOffset val="100"/>
        <c:noMultiLvlLbl val="0"/>
      </c:catAx>
      <c:valAx>
        <c:axId val="2689369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3743072"/>
        <c:crosses val="autoZero"/>
        <c:crossBetween val="between"/>
      </c:valAx>
      <c:valAx>
        <c:axId val="263365007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8378767"/>
        <c:crosses val="max"/>
        <c:crossBetween val="between"/>
      </c:valAx>
      <c:catAx>
        <c:axId val="438378767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63365007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0" i="0" baseline="0">
                <a:effectLst/>
              </a:rPr>
              <a:t>Rear Camber &amp; Roll Changes with Ride Height</a:t>
            </a:r>
            <a:endParaRPr lang="en-US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3"/>
          <c:order val="1"/>
          <c:tx>
            <c:strRef>
              <c:f>'Roll Center Heights'!$E$27</c:f>
              <c:strCache>
                <c:ptCount val="1"/>
                <c:pt idx="0">
                  <c:v>Rear Camber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'Roll Center Heights'!$A$28:$A$33</c:f>
              <c:strCache>
                <c:ptCount val="6"/>
                <c:pt idx="0">
                  <c:v>+ 1"</c:v>
                </c:pt>
                <c:pt idx="1">
                  <c:v>+ .5"</c:v>
                </c:pt>
                <c:pt idx="2">
                  <c:v>'Stock'</c:v>
                </c:pt>
                <c:pt idx="3">
                  <c:v>- .5"</c:v>
                </c:pt>
                <c:pt idx="4">
                  <c:v>- 1"</c:v>
                </c:pt>
                <c:pt idx="5">
                  <c:v>- 1.5"</c:v>
                </c:pt>
              </c:strCache>
            </c:strRef>
          </c:cat>
          <c:val>
            <c:numRef>
              <c:f>'Roll Center Heights'!$E$28:$E$33</c:f>
              <c:numCache>
                <c:formatCode>General</c:formatCode>
                <c:ptCount val="6"/>
                <c:pt idx="0">
                  <c:v>0.37</c:v>
                </c:pt>
                <c:pt idx="1">
                  <c:v>-0.52</c:v>
                </c:pt>
                <c:pt idx="2">
                  <c:v>-1.4</c:v>
                </c:pt>
                <c:pt idx="3">
                  <c:v>-2.2799999999999998</c:v>
                </c:pt>
                <c:pt idx="4">
                  <c:v>-3.15</c:v>
                </c:pt>
                <c:pt idx="5">
                  <c:v>-4.01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4B1-9B41-AC0C-E03DAD5D2C8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33743072"/>
        <c:axId val="268936975"/>
      </c:lineChart>
      <c:lineChart>
        <c:grouping val="standard"/>
        <c:varyColors val="0"/>
        <c:ser>
          <c:idx val="2"/>
          <c:order val="0"/>
          <c:tx>
            <c:strRef>
              <c:f>'Roll Center Heights'!$D$27</c:f>
              <c:strCache>
                <c:ptCount val="1"/>
                <c:pt idx="0">
                  <c:v>Roll Moment Change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'Roll Center Heights'!$A$28:$A$33</c:f>
              <c:strCache>
                <c:ptCount val="6"/>
                <c:pt idx="0">
                  <c:v>+ 1"</c:v>
                </c:pt>
                <c:pt idx="1">
                  <c:v>+ .5"</c:v>
                </c:pt>
                <c:pt idx="2">
                  <c:v>'Stock'</c:v>
                </c:pt>
                <c:pt idx="3">
                  <c:v>- .5"</c:v>
                </c:pt>
                <c:pt idx="4">
                  <c:v>- 1"</c:v>
                </c:pt>
                <c:pt idx="5">
                  <c:v>- 1.5"</c:v>
                </c:pt>
              </c:strCache>
            </c:strRef>
          </c:cat>
          <c:val>
            <c:numRef>
              <c:f>'Roll Center Heights'!$D$28:$D$33</c:f>
              <c:numCache>
                <c:formatCode>0%</c:formatCode>
                <c:ptCount val="6"/>
                <c:pt idx="0">
                  <c:v>-0.13486259718266491</c:v>
                </c:pt>
                <c:pt idx="1">
                  <c:v>-6.7431298591332345E-2</c:v>
                </c:pt>
                <c:pt idx="2">
                  <c:v>0</c:v>
                </c:pt>
                <c:pt idx="3">
                  <c:v>6.6598813423538239E-2</c:v>
                </c:pt>
                <c:pt idx="4">
                  <c:v>0.13278138426317931</c:v>
                </c:pt>
                <c:pt idx="5">
                  <c:v>0.19896395510282061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4B1-9B41-AC0C-E03DAD5D2C8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42869184"/>
        <c:axId val="1656261984"/>
      </c:lineChart>
      <c:catAx>
        <c:axId val="18337430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8936975"/>
        <c:crosses val="autoZero"/>
        <c:auto val="1"/>
        <c:lblAlgn val="ctr"/>
        <c:lblOffset val="100"/>
        <c:noMultiLvlLbl val="0"/>
      </c:catAx>
      <c:valAx>
        <c:axId val="2689369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3743072"/>
        <c:crosses val="autoZero"/>
        <c:crossBetween val="between"/>
      </c:valAx>
      <c:valAx>
        <c:axId val="1656261984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42869184"/>
        <c:crosses val="max"/>
        <c:crossBetween val="between"/>
      </c:valAx>
      <c:catAx>
        <c:axId val="164286918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65626198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.xml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Relationship Id="rId4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2412999</xdr:colOff>
      <xdr:row>8</xdr:row>
      <xdr:rowOff>113808</xdr:rowOff>
    </xdr:from>
    <xdr:to>
      <xdr:col>6</xdr:col>
      <xdr:colOff>5486399</xdr:colOff>
      <xdr:row>42</xdr:row>
      <xdr:rowOff>88006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9FE4643D-B10B-034E-6816-7D1BA1E0AFA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alphaModFix/>
        </a:blip>
        <a:srcRect t="44203" r="30400"/>
        <a:stretch/>
      </xdr:blipFill>
      <xdr:spPr>
        <a:xfrm rot="5400000">
          <a:off x="5099955" y="3713352"/>
          <a:ext cx="6945087" cy="3073400"/>
        </a:xfrm>
        <a:prstGeom prst="rect">
          <a:avLst/>
        </a:prstGeom>
      </xdr:spPr>
    </xdr:pic>
    <xdr:clientData/>
  </xdr:twoCellAnchor>
  <xdr:twoCellAnchor editAs="oneCell">
    <xdr:from>
      <xdr:col>6</xdr:col>
      <xdr:colOff>2306749</xdr:colOff>
      <xdr:row>0</xdr:row>
      <xdr:rowOff>50800</xdr:rowOff>
    </xdr:from>
    <xdr:to>
      <xdr:col>6</xdr:col>
      <xdr:colOff>5572236</xdr:colOff>
      <xdr:row>6</xdr:row>
      <xdr:rowOff>25400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3DFAB1A-5AE7-B588-9B2A-BC91D4B2C0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29549" y="50800"/>
          <a:ext cx="3265487" cy="1219200"/>
        </a:xfrm>
        <a:prstGeom prst="rect">
          <a:avLst/>
        </a:prstGeom>
      </xdr:spPr>
    </xdr:pic>
    <xdr:clientData/>
  </xdr:twoCellAnchor>
  <xdr:twoCellAnchor>
    <xdr:from>
      <xdr:col>6</xdr:col>
      <xdr:colOff>2286000</xdr:colOff>
      <xdr:row>6</xdr:row>
      <xdr:rowOff>165102</xdr:rowOff>
    </xdr:from>
    <xdr:to>
      <xdr:col>6</xdr:col>
      <xdr:colOff>5600700</xdr:colOff>
      <xdr:row>43</xdr:row>
      <xdr:rowOff>14111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65D46672-AA72-C3AE-9390-37396305897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730250</xdr:colOff>
      <xdr:row>0</xdr:row>
      <xdr:rowOff>44450</xdr:rowOff>
    </xdr:from>
    <xdr:to>
      <xdr:col>23</xdr:col>
      <xdr:colOff>596900</xdr:colOff>
      <xdr:row>24</xdr:row>
      <xdr:rowOff>50800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1975A3A-50F7-673B-7BA7-91D635D5BF4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63500</xdr:colOff>
      <xdr:row>0</xdr:row>
      <xdr:rowOff>50800</xdr:rowOff>
    </xdr:from>
    <xdr:to>
      <xdr:col>14</xdr:col>
      <xdr:colOff>704850</xdr:colOff>
      <xdr:row>24</xdr:row>
      <xdr:rowOff>44450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3260B235-17F4-3244-BC3A-ACF749C78B1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50800</xdr:colOff>
      <xdr:row>25</xdr:row>
      <xdr:rowOff>63500</xdr:rowOff>
    </xdr:from>
    <xdr:to>
      <xdr:col>14</xdr:col>
      <xdr:colOff>698500</xdr:colOff>
      <xdr:row>49</xdr:row>
      <xdr:rowOff>63500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6E797715-3F46-42E1-5D76-A94BEF059EA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749300</xdr:colOff>
      <xdr:row>25</xdr:row>
      <xdr:rowOff>50800</xdr:rowOff>
    </xdr:from>
    <xdr:to>
      <xdr:col>23</xdr:col>
      <xdr:colOff>571500</xdr:colOff>
      <xdr:row>49</xdr:row>
      <xdr:rowOff>50800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3642CCC5-A564-2E47-B69A-F287A6DF5B8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cad.onshape.com/documents/a12883b6aa3e6af61334151b/w/4cab4a13b8724a373c31eed5/e/323956f4725d9001c1313b00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620335-983F-4E45-A466-29BB147B65B0}">
  <dimension ref="B1:O64"/>
  <sheetViews>
    <sheetView showGridLines="0" tabSelected="1" zoomScale="90" zoomScaleNormal="90" workbookViewId="0">
      <selection activeCell="R56" sqref="R56"/>
    </sheetView>
  </sheetViews>
  <sheetFormatPr baseColWidth="10" defaultColWidth="10.83203125" defaultRowHeight="16" x14ac:dyDescent="0.2"/>
  <cols>
    <col min="1" max="1" width="2.6640625" customWidth="1"/>
    <col min="2" max="2" width="15.33203125" customWidth="1"/>
    <col min="3" max="3" width="12.83203125" bestFit="1" customWidth="1"/>
    <col min="7" max="7" width="80.83203125" customWidth="1"/>
    <col min="12" max="13" width="0" hidden="1" customWidth="1"/>
    <col min="14" max="14" width="25.5" customWidth="1"/>
    <col min="15" max="15" width="10.83203125" customWidth="1"/>
  </cols>
  <sheetData>
    <row r="1" spans="2:11" ht="15.75" thickBot="1" x14ac:dyDescent="0.25">
      <c r="B1" s="56" t="s">
        <v>27</v>
      </c>
      <c r="C1" s="56"/>
      <c r="D1" s="56"/>
      <c r="E1" s="56"/>
      <c r="F1" s="56"/>
    </row>
    <row r="3" spans="2:11" ht="15.75" thickBot="1" x14ac:dyDescent="0.25">
      <c r="B3" s="55" t="s">
        <v>24</v>
      </c>
      <c r="C3" s="55"/>
      <c r="D3" s="55"/>
      <c r="E3" s="55"/>
      <c r="F3" s="55"/>
    </row>
    <row r="4" spans="2:11" ht="15" x14ac:dyDescent="0.2">
      <c r="B4" s="9" t="s">
        <v>7</v>
      </c>
      <c r="C4" s="14">
        <v>915</v>
      </c>
      <c r="D4" s="15">
        <v>901</v>
      </c>
      <c r="E4" s="9" t="s">
        <v>8</v>
      </c>
      <c r="F4" s="13">
        <f>SUM(C4:D4)/SUM(C4:D5)</f>
        <v>0.47714135575407252</v>
      </c>
    </row>
    <row r="5" spans="2:11" ht="15" x14ac:dyDescent="0.2">
      <c r="B5" s="9" t="s">
        <v>10</v>
      </c>
      <c r="C5" s="16">
        <v>1015</v>
      </c>
      <c r="D5" s="17">
        <v>975</v>
      </c>
      <c r="E5" s="9" t="s">
        <v>9</v>
      </c>
      <c r="F5" s="13">
        <f>SUM(C5:D5)/SUM(C4:D5)</f>
        <v>0.52285864424592743</v>
      </c>
    </row>
    <row r="6" spans="2:11" ht="15" x14ac:dyDescent="0.2">
      <c r="C6" s="13">
        <f>SUM(C4:C5)/SUM(C4:D5)</f>
        <v>0.50709406200735685</v>
      </c>
      <c r="D6" s="13">
        <f>SUM(D4:D5)/SUM(C4:D5)</f>
        <v>0.49290593799264321</v>
      </c>
      <c r="F6" s="3"/>
    </row>
    <row r="7" spans="2:11" ht="15" x14ac:dyDescent="0.2">
      <c r="F7" s="3"/>
    </row>
    <row r="8" spans="2:11" ht="15.75" thickBot="1" x14ac:dyDescent="0.25">
      <c r="B8" s="55" t="s">
        <v>26</v>
      </c>
      <c r="C8" s="55"/>
      <c r="D8" s="55"/>
      <c r="E8" s="55"/>
      <c r="F8" s="55"/>
      <c r="H8" s="55" t="s">
        <v>31</v>
      </c>
      <c r="I8" s="55"/>
      <c r="J8" s="55"/>
      <c r="K8" s="55"/>
    </row>
    <row r="9" spans="2:11" ht="15" x14ac:dyDescent="0.2">
      <c r="B9" s="9" t="s">
        <v>11</v>
      </c>
      <c r="C9" s="35">
        <f>SUM(C4:D5)</f>
        <v>3806</v>
      </c>
      <c r="D9" s="9" t="s">
        <v>2</v>
      </c>
      <c r="E9" s="51">
        <v>200</v>
      </c>
      <c r="F9" s="9" t="s">
        <v>58</v>
      </c>
      <c r="H9" s="9"/>
      <c r="I9" s="9" t="s">
        <v>15</v>
      </c>
      <c r="J9" s="9" t="s">
        <v>16</v>
      </c>
      <c r="K9" s="9"/>
    </row>
    <row r="10" spans="2:11" ht="15" x14ac:dyDescent="0.2">
      <c r="B10" s="9" t="s">
        <v>12</v>
      </c>
      <c r="C10" s="18">
        <v>2731</v>
      </c>
      <c r="D10" s="9" t="s">
        <v>21</v>
      </c>
      <c r="E10" s="44">
        <f>C10/25.4</f>
        <v>107.51968503937009</v>
      </c>
      <c r="F10" s="9" t="s">
        <v>1</v>
      </c>
      <c r="H10" s="9" t="s">
        <v>14</v>
      </c>
      <c r="I10" s="21">
        <f>E11/2-E13/2</f>
        <v>29.88188976377953</v>
      </c>
      <c r="J10" s="22">
        <f>E10/2</f>
        <v>53.759842519685044</v>
      </c>
      <c r="K10" s="9" t="s">
        <v>1</v>
      </c>
    </row>
    <row r="11" spans="2:11" ht="15" x14ac:dyDescent="0.2">
      <c r="B11" s="9" t="s">
        <v>52</v>
      </c>
      <c r="C11" s="18">
        <v>1763</v>
      </c>
      <c r="D11" s="9" t="s">
        <v>21</v>
      </c>
      <c r="E11" s="44">
        <f t="shared" ref="E11:E12" si="0">C11/25.4</f>
        <v>69.409448818897644</v>
      </c>
      <c r="F11" s="9" t="s">
        <v>1</v>
      </c>
      <c r="H11" s="9" t="s">
        <v>17</v>
      </c>
      <c r="I11" s="23">
        <f>E12/2-E14/2</f>
        <v>29.23228346456693</v>
      </c>
      <c r="J11" s="24">
        <f>-E10/2</f>
        <v>-53.759842519685044</v>
      </c>
      <c r="K11" s="9" t="s">
        <v>1</v>
      </c>
    </row>
    <row r="12" spans="2:11" ht="15" x14ac:dyDescent="0.2">
      <c r="B12" s="9" t="s">
        <v>53</v>
      </c>
      <c r="C12" s="18">
        <v>1730</v>
      </c>
      <c r="D12" s="9" t="s">
        <v>21</v>
      </c>
      <c r="E12" s="44">
        <f t="shared" si="0"/>
        <v>68.110236220472444</v>
      </c>
      <c r="F12" s="9" t="s">
        <v>1</v>
      </c>
      <c r="H12" s="9" t="s">
        <v>18</v>
      </c>
      <c r="I12" s="23">
        <f>-E11/2+E13/2</f>
        <v>-29.88188976377953</v>
      </c>
      <c r="J12" s="24">
        <f>E10/2</f>
        <v>53.759842519685044</v>
      </c>
      <c r="K12" s="9" t="s">
        <v>1</v>
      </c>
    </row>
    <row r="13" spans="2:11" ht="15" x14ac:dyDescent="0.2">
      <c r="B13" s="9" t="s">
        <v>19</v>
      </c>
      <c r="C13" s="18">
        <v>245</v>
      </c>
      <c r="D13" s="9" t="s">
        <v>21</v>
      </c>
      <c r="E13" s="44">
        <f>C13/25.4</f>
        <v>9.6456692913385833</v>
      </c>
      <c r="F13" s="9" t="s">
        <v>1</v>
      </c>
      <c r="H13" s="9" t="s">
        <v>33</v>
      </c>
      <c r="I13" s="25">
        <f>-E12/2+E14/2</f>
        <v>-29.23228346456693</v>
      </c>
      <c r="J13" s="26">
        <f>-E10/2</f>
        <v>-53.759842519685044</v>
      </c>
      <c r="K13" s="9" t="s">
        <v>1</v>
      </c>
    </row>
    <row r="14" spans="2:11" ht="15" x14ac:dyDescent="0.2">
      <c r="B14" s="9" t="s">
        <v>20</v>
      </c>
      <c r="C14" s="19">
        <v>245</v>
      </c>
      <c r="D14" s="9" t="s">
        <v>21</v>
      </c>
      <c r="E14" s="20">
        <f>C14/25.4</f>
        <v>9.6456692913385833</v>
      </c>
      <c r="F14" s="9" t="s">
        <v>1</v>
      </c>
    </row>
    <row r="16" spans="2:11" ht="15.75" thickBot="1" x14ac:dyDescent="0.25">
      <c r="B16" s="55" t="s">
        <v>25</v>
      </c>
      <c r="C16" s="55"/>
      <c r="D16" s="55"/>
      <c r="E16" s="55"/>
      <c r="F16" s="55"/>
    </row>
    <row r="17" spans="2:15" ht="15" x14ac:dyDescent="0.2">
      <c r="B17" s="9" t="s">
        <v>0</v>
      </c>
      <c r="C17" s="19">
        <v>21.25</v>
      </c>
      <c r="D17" s="9" t="s">
        <v>1</v>
      </c>
    </row>
    <row r="19" spans="2:15" ht="15.75" thickBot="1" x14ac:dyDescent="0.25">
      <c r="B19" s="56" t="s">
        <v>41</v>
      </c>
      <c r="C19" s="56"/>
      <c r="D19" s="56"/>
      <c r="E19" s="56"/>
      <c r="F19" s="56"/>
      <c r="G19" t="s">
        <v>13</v>
      </c>
    </row>
    <row r="20" spans="2:15" ht="15.75" thickBot="1" x14ac:dyDescent="0.25">
      <c r="B20" s="11" t="s">
        <v>22</v>
      </c>
      <c r="C20" s="34" t="s">
        <v>23</v>
      </c>
      <c r="D20" s="34" t="s">
        <v>42</v>
      </c>
      <c r="E20" s="34" t="s">
        <v>39</v>
      </c>
      <c r="F20" s="34" t="s">
        <v>40</v>
      </c>
    </row>
    <row r="21" spans="2:15" x14ac:dyDescent="0.2">
      <c r="B21" s="4" t="s">
        <v>79</v>
      </c>
      <c r="C21">
        <v>-10</v>
      </c>
      <c r="D21">
        <v>-24</v>
      </c>
      <c r="E21">
        <v>42</v>
      </c>
      <c r="F21" s="5">
        <v>30</v>
      </c>
      <c r="G21" t="s">
        <v>81</v>
      </c>
      <c r="O21">
        <f>D21*-1</f>
        <v>24</v>
      </c>
    </row>
    <row r="22" spans="2:15" x14ac:dyDescent="0.2">
      <c r="B22" s="4" t="s">
        <v>80</v>
      </c>
      <c r="C22">
        <v>10</v>
      </c>
      <c r="D22">
        <v>-26</v>
      </c>
      <c r="E22">
        <v>68</v>
      </c>
      <c r="F22" s="5">
        <v>12</v>
      </c>
      <c r="G22" t="s">
        <v>82</v>
      </c>
      <c r="O22">
        <f>D22*-1</f>
        <v>26</v>
      </c>
    </row>
    <row r="23" spans="2:15" x14ac:dyDescent="0.2">
      <c r="B23" s="4" t="s">
        <v>47</v>
      </c>
      <c r="C23">
        <v>-55</v>
      </c>
      <c r="D23">
        <v>0</v>
      </c>
      <c r="E23">
        <v>-36</v>
      </c>
      <c r="F23" s="5">
        <v>62</v>
      </c>
      <c r="G23" t="s">
        <v>63</v>
      </c>
      <c r="O23">
        <f t="shared" ref="O23:O32" si="1">D23*-1</f>
        <v>0</v>
      </c>
    </row>
    <row r="24" spans="2:15" ht="15" x14ac:dyDescent="0.2">
      <c r="B24" s="4" t="s">
        <v>48</v>
      </c>
      <c r="C24">
        <v>-26</v>
      </c>
      <c r="D24">
        <v>-1</v>
      </c>
      <c r="E24">
        <v>-74</v>
      </c>
      <c r="F24" s="5">
        <v>12.5</v>
      </c>
      <c r="G24" t="s">
        <v>54</v>
      </c>
      <c r="O24">
        <f t="shared" si="1"/>
        <v>1</v>
      </c>
    </row>
    <row r="25" spans="2:15" ht="15" x14ac:dyDescent="0.2">
      <c r="B25" s="4" t="s">
        <v>56</v>
      </c>
      <c r="C25">
        <v>-15</v>
      </c>
      <c r="D25">
        <v>-1</v>
      </c>
      <c r="E25">
        <v>-74</v>
      </c>
      <c r="F25" s="5">
        <v>20</v>
      </c>
      <c r="G25" t="s">
        <v>57</v>
      </c>
      <c r="O25">
        <f t="shared" si="1"/>
        <v>1</v>
      </c>
    </row>
    <row r="26" spans="2:15" ht="15" x14ac:dyDescent="0.2">
      <c r="B26" s="4" t="s">
        <v>49</v>
      </c>
      <c r="C26">
        <v>-6</v>
      </c>
      <c r="D26">
        <v>0</v>
      </c>
      <c r="E26">
        <v>42</v>
      </c>
      <c r="F26" s="5">
        <v>30</v>
      </c>
      <c r="G26" t="s">
        <v>55</v>
      </c>
      <c r="O26">
        <f t="shared" si="1"/>
        <v>0</v>
      </c>
    </row>
    <row r="27" spans="2:15" ht="15" x14ac:dyDescent="0.2">
      <c r="B27" s="4" t="s">
        <v>50</v>
      </c>
      <c r="D27">
        <v>22</v>
      </c>
      <c r="E27">
        <v>-76</v>
      </c>
      <c r="F27" s="5">
        <v>16</v>
      </c>
      <c r="G27" t="s">
        <v>64</v>
      </c>
      <c r="O27">
        <f t="shared" si="1"/>
        <v>-22</v>
      </c>
    </row>
    <row r="28" spans="2:15" ht="15" x14ac:dyDescent="0.2">
      <c r="B28" s="4" t="s">
        <v>51</v>
      </c>
      <c r="C28">
        <v>-30</v>
      </c>
      <c r="D28">
        <v>-24</v>
      </c>
      <c r="E28">
        <v>-76</v>
      </c>
      <c r="F28" s="5">
        <v>20</v>
      </c>
      <c r="G28" t="s">
        <v>65</v>
      </c>
      <c r="O28">
        <f t="shared" si="1"/>
        <v>24</v>
      </c>
    </row>
    <row r="29" spans="2:15" ht="15" x14ac:dyDescent="0.2">
      <c r="B29" s="4" t="s">
        <v>70</v>
      </c>
      <c r="C29">
        <v>20</v>
      </c>
      <c r="D29">
        <v>0</v>
      </c>
      <c r="E29">
        <v>-90</v>
      </c>
      <c r="F29" s="5">
        <v>20</v>
      </c>
      <c r="G29" t="s">
        <v>76</v>
      </c>
      <c r="O29">
        <f t="shared" si="1"/>
        <v>0</v>
      </c>
    </row>
    <row r="30" spans="2:15" ht="15" x14ac:dyDescent="0.2">
      <c r="B30" s="4" t="s">
        <v>72</v>
      </c>
      <c r="C30">
        <v>5</v>
      </c>
      <c r="D30">
        <v>0</v>
      </c>
      <c r="E30">
        <v>-42</v>
      </c>
      <c r="F30" s="5">
        <v>6</v>
      </c>
      <c r="G30" t="s">
        <v>73</v>
      </c>
      <c r="O30">
        <f t="shared" si="1"/>
        <v>0</v>
      </c>
    </row>
    <row r="31" spans="2:15" ht="15" x14ac:dyDescent="0.2">
      <c r="B31" s="4" t="s">
        <v>74</v>
      </c>
      <c r="C31">
        <v>5</v>
      </c>
      <c r="D31">
        <v>0</v>
      </c>
      <c r="E31">
        <v>-58</v>
      </c>
      <c r="F31" s="5">
        <v>22</v>
      </c>
      <c r="G31" t="s">
        <v>75</v>
      </c>
      <c r="O31">
        <f t="shared" si="1"/>
        <v>0</v>
      </c>
    </row>
    <row r="32" spans="2:15" ht="15" x14ac:dyDescent="0.2">
      <c r="B32" s="4" t="s">
        <v>78</v>
      </c>
      <c r="C32">
        <v>-4</v>
      </c>
      <c r="D32">
        <v>0</v>
      </c>
      <c r="E32">
        <v>61</v>
      </c>
      <c r="F32" s="5">
        <v>10</v>
      </c>
      <c r="G32" t="s">
        <v>83</v>
      </c>
      <c r="O32">
        <f t="shared" si="1"/>
        <v>0</v>
      </c>
    </row>
    <row r="33" spans="2:15" ht="15" x14ac:dyDescent="0.2">
      <c r="B33" s="6" t="s">
        <v>71</v>
      </c>
      <c r="C33" s="7">
        <v>-50</v>
      </c>
      <c r="D33" s="7">
        <v>0</v>
      </c>
      <c r="E33" s="7">
        <v>-36</v>
      </c>
      <c r="F33" s="8">
        <v>20</v>
      </c>
      <c r="G33" t="s">
        <v>77</v>
      </c>
      <c r="O33">
        <f>D33*-1</f>
        <v>0</v>
      </c>
    </row>
    <row r="34" spans="2:15" ht="15" x14ac:dyDescent="0.2">
      <c r="C34" s="43">
        <f>SUM(C21:C33)</f>
        <v>-156</v>
      </c>
      <c r="D34" t="s">
        <v>2</v>
      </c>
    </row>
    <row r="36" spans="2:15" ht="17" thickBot="1" x14ac:dyDescent="0.25">
      <c r="B36" s="55" t="s">
        <v>32</v>
      </c>
      <c r="C36" s="55"/>
      <c r="D36" s="55"/>
      <c r="E36" s="55"/>
      <c r="F36" s="55"/>
      <c r="H36" s="10" t="s">
        <v>44</v>
      </c>
    </row>
    <row r="37" spans="2:15" ht="15" x14ac:dyDescent="0.2">
      <c r="B37" s="9" t="s">
        <v>3</v>
      </c>
      <c r="C37" s="35">
        <f>C9+SUM(C21:C33)</f>
        <v>3650</v>
      </c>
      <c r="D37" s="9" t="s">
        <v>2</v>
      </c>
      <c r="E37" s="45">
        <f>C37-E9</f>
        <v>3450</v>
      </c>
      <c r="F37" s="9" t="s">
        <v>59</v>
      </c>
      <c r="H37" s="40">
        <f>AVERAGE(I10:I11)-C45</f>
        <v>28.919103656563479</v>
      </c>
      <c r="I37" t="s">
        <v>37</v>
      </c>
    </row>
    <row r="38" spans="2:15" ht="15" x14ac:dyDescent="0.2">
      <c r="B38" s="9" t="s">
        <v>4</v>
      </c>
      <c r="C38" s="27">
        <f>E45</f>
        <v>20.61986301369863</v>
      </c>
      <c r="D38" s="9" t="s">
        <v>1</v>
      </c>
      <c r="H38" s="40">
        <f>AVERAGE(I10:I11)+C45</f>
        <v>30.19506957178298</v>
      </c>
      <c r="I38" t="s">
        <v>38</v>
      </c>
    </row>
    <row r="39" spans="2:15" ht="15" x14ac:dyDescent="0.2">
      <c r="B39" s="9" t="s">
        <v>5</v>
      </c>
      <c r="C39" s="27">
        <f>C38-xcm</f>
        <v>-0.63013698630136972</v>
      </c>
      <c r="D39" s="9" t="s">
        <v>1</v>
      </c>
      <c r="H39" s="41">
        <f>-D45+J10</f>
        <v>54.525928163089205</v>
      </c>
      <c r="I39" t="s">
        <v>35</v>
      </c>
    </row>
    <row r="40" spans="2:15" ht="15" x14ac:dyDescent="0.2">
      <c r="B40" s="9" t="s">
        <v>29</v>
      </c>
      <c r="C40" s="27">
        <f>C45-C44</f>
        <v>0.22084218113166609</v>
      </c>
      <c r="D40" s="9" t="s">
        <v>1</v>
      </c>
      <c r="E40" s="12" t="s">
        <v>43</v>
      </c>
      <c r="H40" s="42">
        <f>D45+J10</f>
        <v>52.993756876280884</v>
      </c>
      <c r="I40" t="s">
        <v>36</v>
      </c>
    </row>
    <row r="41" spans="2:15" ht="15" x14ac:dyDescent="0.2">
      <c r="B41" s="9" t="s">
        <v>30</v>
      </c>
      <c r="C41" s="28">
        <f>D45-D44</f>
        <v>1.6916685863449687</v>
      </c>
      <c r="D41" s="9" t="s">
        <v>1</v>
      </c>
      <c r="E41" s="12" t="s">
        <v>28</v>
      </c>
    </row>
    <row r="43" spans="2:15" ht="15.75" thickBot="1" x14ac:dyDescent="0.25">
      <c r="B43" s="10"/>
      <c r="C43" s="34" t="s">
        <v>42</v>
      </c>
      <c r="D43" s="34" t="s">
        <v>39</v>
      </c>
      <c r="E43" s="34" t="s">
        <v>40</v>
      </c>
      <c r="F43" s="10"/>
    </row>
    <row r="44" spans="2:15" ht="15" x14ac:dyDescent="0.2">
      <c r="B44" s="9" t="s">
        <v>6</v>
      </c>
      <c r="C44" s="29">
        <f>(C4*I10+C5*I11+D4*I12+D5*I13)/C9</f>
        <v>0.41714077647808467</v>
      </c>
      <c r="D44" s="30">
        <f>(C4*J10+C5*J11+D4*J12+D5*J13)/C9</f>
        <v>-2.4577542297491326</v>
      </c>
      <c r="E44" s="31">
        <f>xcm</f>
        <v>21.25</v>
      </c>
      <c r="F44" s="9" t="s">
        <v>1</v>
      </c>
      <c r="G44" t="s">
        <v>45</v>
      </c>
      <c r="I44" s="2"/>
      <c r="O44">
        <f>C44*-1</f>
        <v>-0.41714077647808467</v>
      </c>
    </row>
    <row r="45" spans="2:15" ht="15" x14ac:dyDescent="0.2">
      <c r="B45" s="9" t="s">
        <v>6</v>
      </c>
      <c r="C45" s="32">
        <f>(C4*I10+C5*I11+D4*I12+D5*I13+C21*D21+C22*D22+C23*D23+C24*D24+C25*D25+C26*D26+C27*D27+C28*D28+C29*D29+C30*D30+C31*D31+C32*D32+C33*D33)/(C9+SUM(C21:C33))</f>
        <v>0.63798295760975077</v>
      </c>
      <c r="D45" s="33">
        <f>(C4*J10+C5*J11+D4*J12+D5*J13+C21*E21+C22*E22+C23*E23+C24*E24+C25*E25+C26*E26+C27*E27+C28*E28+C29*E29+C30*E30+C31*E31+C32*E32+C33*E33)/(C9+SUM(C21:C33))</f>
        <v>-0.76608564340416385</v>
      </c>
      <c r="E45" s="26">
        <f>(xcm*C9+C21*F21+C23*F23+C24*F24+C25*F25+C26*F26+C27*F27+C28*F28+C29*F29+C30*F30+C31*F31+C32*F32+C33*F33)/(C9+SUM(C21:C33))</f>
        <v>20.61986301369863</v>
      </c>
      <c r="F45" s="9" t="s">
        <v>1</v>
      </c>
      <c r="G45" t="s">
        <v>46</v>
      </c>
      <c r="O45">
        <f>C45*-1</f>
        <v>-0.63798295760975077</v>
      </c>
    </row>
    <row r="46" spans="2:15" ht="15" x14ac:dyDescent="0.2">
      <c r="B46" t="s">
        <v>13</v>
      </c>
      <c r="E46" s="1"/>
    </row>
    <row r="48" spans="2:15" ht="15.75" thickBot="1" x14ac:dyDescent="0.25">
      <c r="B48" s="55" t="s">
        <v>34</v>
      </c>
      <c r="C48" s="55"/>
      <c r="D48" s="55"/>
      <c r="E48" s="55"/>
      <c r="F48" s="55"/>
    </row>
    <row r="49" spans="2:7" ht="15" x14ac:dyDescent="0.2">
      <c r="B49" s="9" t="s">
        <v>7</v>
      </c>
      <c r="C49" s="36">
        <f>H38/SUM(H37:H38)*H40/SUM(H39:H40)*C37</f>
        <v>918.91217264629415</v>
      </c>
      <c r="D49" s="37">
        <f>H37/SUM(H37:H38)*H40/SUM(H39:H40)*C37</f>
        <v>880.08130959464336</v>
      </c>
      <c r="E49" s="9" t="s">
        <v>8</v>
      </c>
      <c r="F49" s="13">
        <f>SUM(C49:D49)/SUM(C49:D50)</f>
        <v>0.49287492664135274</v>
      </c>
      <c r="G49" s="49">
        <f>F49-F4</f>
        <v>1.5733570887280224E-2</v>
      </c>
    </row>
    <row r="50" spans="2:7" ht="15" x14ac:dyDescent="0.2">
      <c r="B50" s="9" t="s">
        <v>10</v>
      </c>
      <c r="C50" s="38">
        <f>H38/SUM(H37:H38)*H39/SUM(H39:H40)*C37</f>
        <v>945.48003514591369</v>
      </c>
      <c r="D50" s="39">
        <f>H37/SUM(H37:H38)*H39/SUM(H39:H40)*C37</f>
        <v>905.5264826131488</v>
      </c>
      <c r="E50" s="9" t="s">
        <v>9</v>
      </c>
      <c r="F50" s="13">
        <f>SUM(C50:D50)/SUM(C49:D50)</f>
        <v>0.5071250733586472</v>
      </c>
      <c r="G50" s="49">
        <f>F50-F5</f>
        <v>-1.5733570887280224E-2</v>
      </c>
    </row>
    <row r="51" spans="2:7" ht="15" x14ac:dyDescent="0.2">
      <c r="C51" s="13">
        <f>SUM(C49:C50)/SUM(C49:D50)</f>
        <v>0.51079238569649532</v>
      </c>
      <c r="D51" s="13">
        <f>SUM(D49:D50)/SUM(C49:D50)</f>
        <v>0.48920761430350468</v>
      </c>
    </row>
    <row r="52" spans="2:7" ht="15" x14ac:dyDescent="0.2">
      <c r="C52" s="13">
        <f>C51-C6</f>
        <v>3.6983236891384719E-3</v>
      </c>
      <c r="D52" s="13">
        <f>D51-D6</f>
        <v>-3.6983236891385274E-3</v>
      </c>
    </row>
    <row r="54" spans="2:7" ht="15.75" thickBot="1" x14ac:dyDescent="0.25">
      <c r="B54" s="55" t="s">
        <v>61</v>
      </c>
      <c r="C54" s="55"/>
      <c r="D54" s="55"/>
    </row>
    <row r="55" spans="2:7" x14ac:dyDescent="0.2">
      <c r="B55" s="9" t="s">
        <v>60</v>
      </c>
      <c r="C55" s="46">
        <v>6.36</v>
      </c>
      <c r="D55" s="9" t="s">
        <v>1</v>
      </c>
      <c r="E55" s="48" t="s">
        <v>62</v>
      </c>
    </row>
    <row r="56" spans="2:7" x14ac:dyDescent="0.2">
      <c r="B56" s="9" t="s">
        <v>66</v>
      </c>
      <c r="C56" s="50">
        <f>(E45-E44)/(E44-C55)</f>
        <v>-4.2319475238507029E-2</v>
      </c>
      <c r="D56" s="9"/>
      <c r="E56" t="s">
        <v>68</v>
      </c>
    </row>
    <row r="57" spans="2:7" x14ac:dyDescent="0.2">
      <c r="B57" s="9" t="s">
        <v>67</v>
      </c>
      <c r="C57" s="47">
        <f>(-C9*(E44-C55)+C37*(E45-C55))/(C9*(E44-C55))</f>
        <v>-8.1572802054795307E-2</v>
      </c>
      <c r="D57" s="9"/>
      <c r="E57" t="s">
        <v>69</v>
      </c>
    </row>
    <row r="59" spans="2:7" ht="17" thickBot="1" x14ac:dyDescent="0.25">
      <c r="B59" s="55" t="s">
        <v>84</v>
      </c>
      <c r="C59" s="55"/>
      <c r="D59" s="55"/>
    </row>
    <row r="60" spans="2:7" x14ac:dyDescent="0.2">
      <c r="B60" s="9" t="s">
        <v>92</v>
      </c>
      <c r="C60" s="46">
        <f>C38-C55</f>
        <v>14.259863013698631</v>
      </c>
      <c r="D60" s="9" t="s">
        <v>1</v>
      </c>
    </row>
    <row r="61" spans="2:7" ht="17" thickBot="1" x14ac:dyDescent="0.25">
      <c r="B61" s="9" t="s">
        <v>85</v>
      </c>
      <c r="C61" s="54">
        <v>2860</v>
      </c>
      <c r="D61" s="9" t="s">
        <v>86</v>
      </c>
      <c r="E61" s="55" t="s">
        <v>90</v>
      </c>
      <c r="F61" s="55"/>
    </row>
    <row r="62" spans="2:7" x14ac:dyDescent="0.2">
      <c r="B62" s="9" t="s">
        <v>87</v>
      </c>
      <c r="C62" s="52">
        <f>0.8*C37*C60/12/C61</f>
        <v>1.2132517482517482</v>
      </c>
      <c r="D62" s="9" t="s">
        <v>89</v>
      </c>
      <c r="E62" s="52">
        <f>AVERAGE($I$10:$I$11)*SIN(RADIANS(C62))</f>
        <v>0.62583156171392462</v>
      </c>
      <c r="F62" s="9" t="s">
        <v>1</v>
      </c>
    </row>
    <row r="63" spans="2:7" x14ac:dyDescent="0.2">
      <c r="B63" s="9" t="s">
        <v>88</v>
      </c>
      <c r="C63" s="52">
        <f>1*C37*C60/12/C61</f>
        <v>1.5165646853146852</v>
      </c>
      <c r="D63" s="9" t="s">
        <v>89</v>
      </c>
      <c r="E63" s="52">
        <f t="shared" ref="E63:E64" si="2">AVERAGE($I$10:$I$11)*SIN(RADIANS(C63))</f>
        <v>0.78225656676401534</v>
      </c>
      <c r="F63" s="9" t="s">
        <v>1</v>
      </c>
    </row>
    <row r="64" spans="2:7" x14ac:dyDescent="0.2">
      <c r="B64" s="9" t="s">
        <v>91</v>
      </c>
      <c r="C64" s="53">
        <f>1.4*C37*C60/12/C61</f>
        <v>2.1231905594405598</v>
      </c>
      <c r="D64" s="9" t="s">
        <v>89</v>
      </c>
      <c r="E64" s="53">
        <f t="shared" si="2"/>
        <v>1.0950364270672999</v>
      </c>
      <c r="F64" s="9" t="s">
        <v>1</v>
      </c>
    </row>
  </sheetData>
  <mergeCells count="11">
    <mergeCell ref="H8:K8"/>
    <mergeCell ref="B8:F8"/>
    <mergeCell ref="B3:F3"/>
    <mergeCell ref="B16:F16"/>
    <mergeCell ref="B54:D54"/>
    <mergeCell ref="B36:F36"/>
    <mergeCell ref="B59:D59"/>
    <mergeCell ref="E61:F61"/>
    <mergeCell ref="B1:F1"/>
    <mergeCell ref="B48:F48"/>
    <mergeCell ref="B19:F19"/>
  </mergeCells>
  <hyperlinks>
    <hyperlink ref="E55" r:id="rId1" xr:uid="{E33E7B2A-A9C8-904F-A360-BF51267C881A}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F11CB5-7897-9F4C-91AF-A41615429668}">
  <dimension ref="A3:F33"/>
  <sheetViews>
    <sheetView workbookViewId="0">
      <selection activeCell="C43" sqref="C43"/>
    </sheetView>
  </sheetViews>
  <sheetFormatPr baseColWidth="10" defaultRowHeight="16" x14ac:dyDescent="0.2"/>
  <cols>
    <col min="1" max="1" width="6.5" bestFit="1" customWidth="1"/>
    <col min="2" max="2" width="21.5" bestFit="1" customWidth="1"/>
    <col min="3" max="3" width="19.33203125" bestFit="1" customWidth="1"/>
    <col min="4" max="4" width="18.5" bestFit="1" customWidth="1"/>
    <col min="5" max="5" width="12.33203125" bestFit="1" customWidth="1"/>
  </cols>
  <sheetData>
    <row r="3" spans="1:6" x14ac:dyDescent="0.2">
      <c r="B3" t="s">
        <v>98</v>
      </c>
    </row>
    <row r="4" spans="1:6" x14ac:dyDescent="0.2">
      <c r="A4" t="s">
        <v>107</v>
      </c>
      <c r="B4" t="s">
        <v>103</v>
      </c>
      <c r="C4" t="s">
        <v>104</v>
      </c>
      <c r="D4" t="s">
        <v>102</v>
      </c>
      <c r="E4" t="s">
        <v>100</v>
      </c>
      <c r="F4" t="s">
        <v>101</v>
      </c>
    </row>
    <row r="5" spans="1:6" x14ac:dyDescent="0.2">
      <c r="A5" s="12" t="s">
        <v>93</v>
      </c>
      <c r="B5">
        <v>95.65</v>
      </c>
      <c r="C5" s="1">
        <f>'CG and Roll'!$C$38-(B5/25.4)</f>
        <v>16.854114982202567</v>
      </c>
      <c r="D5" s="2">
        <f>C5/$C$7-1</f>
        <v>-0.11722990484718632</v>
      </c>
      <c r="E5">
        <v>-1.94</v>
      </c>
      <c r="F5">
        <v>1505.4</v>
      </c>
    </row>
    <row r="6" spans="1:6" x14ac:dyDescent="0.2">
      <c r="A6" s="12" t="s">
        <v>94</v>
      </c>
      <c r="B6">
        <v>67.45</v>
      </c>
      <c r="C6" s="1">
        <f>'CG and Roll'!$C$38-(B6/25.4)</f>
        <v>17.964351202675008</v>
      </c>
      <c r="D6" s="2">
        <f t="shared" ref="D6:D10" si="0">C6/$C$7-1</f>
        <v>-5.9078923023252128E-2</v>
      </c>
      <c r="E6">
        <v>-2.23</v>
      </c>
      <c r="F6">
        <v>1508.1</v>
      </c>
    </row>
    <row r="7" spans="1:6" x14ac:dyDescent="0.2">
      <c r="A7" s="12" t="s">
        <v>108</v>
      </c>
      <c r="B7">
        <v>38.799999999999997</v>
      </c>
      <c r="C7" s="1">
        <f>'CG and Roll'!$C$38-(B7/25.4)</f>
        <v>19.092303958580519</v>
      </c>
      <c r="D7" s="2">
        <f t="shared" si="0"/>
        <v>0</v>
      </c>
      <c r="E7">
        <v>-2.5</v>
      </c>
      <c r="F7">
        <v>1509.9</v>
      </c>
    </row>
    <row r="8" spans="1:6" x14ac:dyDescent="0.2">
      <c r="A8" s="12" t="s">
        <v>95</v>
      </c>
      <c r="B8">
        <v>9.6199999999999992</v>
      </c>
      <c r="C8" s="1">
        <f>'CG and Roll'!$C$38-(B8/25.4)</f>
        <v>20.241122856218315</v>
      </c>
      <c r="D8" s="2">
        <f t="shared" si="0"/>
        <v>6.0171831546893539E-2</v>
      </c>
      <c r="E8">
        <v>-2.74</v>
      </c>
      <c r="F8">
        <v>1510.7</v>
      </c>
    </row>
    <row r="9" spans="1:6" x14ac:dyDescent="0.2">
      <c r="A9" s="12" t="s">
        <v>96</v>
      </c>
      <c r="B9">
        <v>-20.2</v>
      </c>
      <c r="C9" s="1">
        <f>'CG and Roll'!$C$38-(B9/25.4)</f>
        <v>21.415138604249812</v>
      </c>
      <c r="D9" s="2">
        <f t="shared" si="0"/>
        <v>0.12166340168837286</v>
      </c>
      <c r="E9">
        <v>-2.96</v>
      </c>
      <c r="F9">
        <v>1510.6</v>
      </c>
    </row>
    <row r="10" spans="1:6" x14ac:dyDescent="0.2">
      <c r="A10" s="12" t="s">
        <v>97</v>
      </c>
      <c r="B10">
        <v>-50.8</v>
      </c>
      <c r="C10" s="1">
        <f>'CG and Roll'!$C$38-(B10/25.4)</f>
        <v>22.61986301369863</v>
      </c>
      <c r="D10" s="2">
        <f t="shared" si="0"/>
        <v>0.18476340324200335</v>
      </c>
      <c r="E10">
        <v>-3.14</v>
      </c>
      <c r="F10">
        <v>1509.4</v>
      </c>
    </row>
    <row r="26" spans="1:6" x14ac:dyDescent="0.2">
      <c r="B26" t="s">
        <v>99</v>
      </c>
    </row>
    <row r="27" spans="1:6" x14ac:dyDescent="0.2">
      <c r="A27" t="s">
        <v>107</v>
      </c>
      <c r="B27" t="s">
        <v>103</v>
      </c>
      <c r="C27" t="s">
        <v>104</v>
      </c>
      <c r="D27" t="s">
        <v>102</v>
      </c>
      <c r="E27" t="s">
        <v>105</v>
      </c>
      <c r="F27" t="s">
        <v>106</v>
      </c>
    </row>
    <row r="28" spans="1:6" x14ac:dyDescent="0.2">
      <c r="A28" s="12" t="s">
        <v>93</v>
      </c>
      <c r="B28">
        <v>315.89999999999998</v>
      </c>
      <c r="C28" s="1">
        <f>'CG and Roll'!$C$38-(B28/25.4)</f>
        <v>8.1828551396828821</v>
      </c>
      <c r="D28" s="2">
        <f t="shared" ref="D28:D29" si="1">C28/$C$30-1</f>
        <v>-0.13486259718266491</v>
      </c>
      <c r="E28">
        <v>0.37</v>
      </c>
      <c r="F28">
        <v>1473.5</v>
      </c>
    </row>
    <row r="29" spans="1:6" x14ac:dyDescent="0.2">
      <c r="A29" s="12" t="s">
        <v>94</v>
      </c>
      <c r="B29">
        <v>299.7</v>
      </c>
      <c r="C29" s="1">
        <f>'CG and Roll'!$C$38-(B29/25.4)</f>
        <v>8.820650415273434</v>
      </c>
      <c r="D29" s="2">
        <f t="shared" si="1"/>
        <v>-6.7431298591332345E-2</v>
      </c>
      <c r="E29">
        <v>-0.52</v>
      </c>
      <c r="F29">
        <v>1484.1</v>
      </c>
    </row>
    <row r="30" spans="1:6" x14ac:dyDescent="0.2">
      <c r="A30" s="12" t="s">
        <v>108</v>
      </c>
      <c r="B30">
        <v>283.5</v>
      </c>
      <c r="C30" s="1">
        <f>'CG and Roll'!$C$38-(B30/25.4)</f>
        <v>9.458445690863984</v>
      </c>
      <c r="D30" s="2">
        <f>C30/$C$30-1</f>
        <v>0</v>
      </c>
      <c r="E30">
        <v>-1.4</v>
      </c>
      <c r="F30">
        <v>1494</v>
      </c>
    </row>
    <row r="31" spans="1:6" x14ac:dyDescent="0.2">
      <c r="A31" s="12" t="s">
        <v>95</v>
      </c>
      <c r="B31">
        <v>267.5</v>
      </c>
      <c r="C31" s="1">
        <f>'CG and Roll'!$C$38-(B31/25.4)</f>
        <v>10.088366950706504</v>
      </c>
      <c r="D31" s="2">
        <f t="shared" ref="D31:D33" si="2">C31/$C$30-1</f>
        <v>6.6598813423538239E-2</v>
      </c>
      <c r="E31">
        <v>-2.2799999999999998</v>
      </c>
      <c r="F31">
        <v>1503.3</v>
      </c>
    </row>
    <row r="32" spans="1:6" x14ac:dyDescent="0.2">
      <c r="A32" s="12" t="s">
        <v>96</v>
      </c>
      <c r="B32">
        <v>251.6</v>
      </c>
      <c r="C32" s="1">
        <f>'CG and Roll'!$C$38-(B32/25.4)</f>
        <v>10.714351202675008</v>
      </c>
      <c r="D32" s="2">
        <f t="shared" si="2"/>
        <v>0.13278138426317931</v>
      </c>
      <c r="E32">
        <v>-3.15</v>
      </c>
      <c r="F32">
        <v>1512.1</v>
      </c>
    </row>
    <row r="33" spans="1:6" x14ac:dyDescent="0.2">
      <c r="A33" s="12" t="s">
        <v>97</v>
      </c>
      <c r="B33">
        <v>235.7</v>
      </c>
      <c r="C33" s="1">
        <f>'CG and Roll'!$C$38-(B33/25.4)</f>
        <v>11.340335454643512</v>
      </c>
      <c r="D33" s="2">
        <f t="shared" si="2"/>
        <v>0.19896395510282061</v>
      </c>
      <c r="E33">
        <v>-4.01</v>
      </c>
      <c r="F33">
        <v>1520.2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CG and Roll</vt:lpstr>
      <vt:lpstr>Roll Center Heights</vt:lpstr>
      <vt:lpstr>xcm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2023-01-30T22:16:27Z</dcterms:created>
  <dcterms:modified xsi:type="dcterms:W3CDTF">2023-05-07T23:32:28Z</dcterms:modified>
</cp:coreProperties>
</file>